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horseshoebaytx-my.sharepoint.com/personal/mjester_horseshoe-bay-tx_gov/Documents/Documents/Website/"/>
    </mc:Choice>
  </mc:AlternateContent>
  <xr:revisionPtr revIDLastSave="0" documentId="8_{6AF04A46-0639-478B-A65A-C817A0121B1B}" xr6:coauthVersionLast="47" xr6:coauthVersionMax="47" xr10:uidLastSave="{00000000-0000-0000-0000-000000000000}"/>
  <bookViews>
    <workbookView xWindow="28680" yWindow="-120" windowWidth="29040" windowHeight="15840" xr2:uid="{F1A744BD-8F35-4662-B3E5-A9881DE75027}"/>
  </bookViews>
  <sheets>
    <sheet name="SUMMARY" sheetId="34" r:id="rId1"/>
    <sheet name="GF-SUMM" sheetId="32" r:id="rId2"/>
    <sheet name="GF FORE" sheetId="37" r:id="rId3"/>
    <sheet name="GF-R" sheetId="10" r:id="rId4"/>
    <sheet name="GF-E ADM" sheetId="11" r:id="rId5"/>
    <sheet name="GF-E IT" sheetId="12" r:id="rId6"/>
    <sheet name="GF-E FIRE" sheetId="13" r:id="rId7"/>
    <sheet name="GF-E POL" sheetId="14" r:id="rId8"/>
    <sheet name="GF-E AC" sheetId="16" r:id="rId9"/>
    <sheet name="GF-E DEV" sheetId="17" r:id="rId10"/>
    <sheet name="GF-E STR" sheetId="18" r:id="rId11"/>
    <sheet name="GF-E MOW" sheetId="19" r:id="rId12"/>
    <sheet name="GF-XFER TO" sheetId="42" r:id="rId13"/>
    <sheet name="GF-E CAP" sheetId="20" r:id="rId14"/>
    <sheet name="UT-SUMM" sheetId="33" r:id="rId15"/>
    <sheet name="UT FORE" sheetId="40" r:id="rId16"/>
    <sheet name="UT-R" sheetId="1" r:id="rId17"/>
    <sheet name="UT-E ADM" sheetId="2" r:id="rId18"/>
    <sheet name="UT-E PROD" sheetId="3" r:id="rId19"/>
    <sheet name="UT-E DIST" sheetId="4" r:id="rId20"/>
    <sheet name="UT-E TRE" sheetId="5" r:id="rId21"/>
    <sheet name="UT-E COLL" sheetId="6" r:id="rId22"/>
    <sheet name="UT-E REC" sheetId="7" r:id="rId23"/>
    <sheet name="UT-E DEBT" sheetId="8" r:id="rId24"/>
    <sheet name="UT-XFER TO" sheetId="43" r:id="rId25"/>
    <sheet name="UT-E CAP" sheetId="9" r:id="rId26"/>
    <sheet name="04-ESC" sheetId="21" r:id="rId27"/>
    <sheet name="05-SUMM" sheetId="22" r:id="rId28"/>
    <sheet name="06-SEIZ" sheetId="23" r:id="rId29"/>
    <sheet name="07-CAP" sheetId="24" r:id="rId30"/>
    <sheet name="08-DEBT" sheetId="25" r:id="rId31"/>
    <sheet name="13-COMP" sheetId="26" r:id="rId32"/>
    <sheet name="14-FIXED" sheetId="27" r:id="rId33"/>
    <sheet name="16-MCSAFE" sheetId="28" r:id="rId34"/>
    <sheet name="17-MCTECH" sheetId="29" r:id="rId35"/>
    <sheet name="18-MCSEC" sheetId="30" r:id="rId36"/>
    <sheet name="19-IMPACT" sheetId="31" r:id="rId37"/>
    <sheet name="21-VEH REP" sheetId="41" r:id="rId38"/>
    <sheet name="CHART" sheetId="15" r:id="rId39"/>
    <sheet name="TAX RATE" sheetId="35" r:id="rId40"/>
    <sheet name="5YR CAP" sheetId="39" r:id="rId41"/>
    <sheet name="STAFF PLAN" sheetId="38" r:id="rId42"/>
    <sheet name="STAFF" sheetId="44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41" l="1"/>
  <c r="O17" i="41"/>
  <c r="O16" i="41"/>
  <c r="O7" i="41"/>
  <c r="O6" i="41"/>
  <c r="O19" i="31"/>
  <c r="O10" i="31"/>
  <c r="O6" i="31"/>
  <c r="O20" i="30"/>
  <c r="O19" i="30"/>
  <c r="O10" i="30"/>
  <c r="O6" i="30"/>
  <c r="O20" i="29"/>
  <c r="O19" i="29"/>
  <c r="O10" i="29"/>
  <c r="O6" i="29"/>
  <c r="O20" i="28"/>
  <c r="O19" i="28"/>
  <c r="O10" i="28"/>
  <c r="O6" i="28"/>
  <c r="O11" i="25"/>
  <c r="O12" i="24"/>
  <c r="O11" i="24"/>
  <c r="O7" i="24"/>
  <c r="O6" i="24"/>
  <c r="O24" i="23"/>
  <c r="O15" i="23"/>
  <c r="O11" i="23"/>
  <c r="O10" i="23"/>
  <c r="O6" i="23"/>
  <c r="O26" i="22"/>
  <c r="O25" i="22"/>
  <c r="O21" i="22"/>
  <c r="O20" i="22"/>
  <c r="O11" i="22"/>
  <c r="O7" i="22"/>
  <c r="O6" i="22"/>
  <c r="O27" i="21"/>
  <c r="O26" i="21"/>
  <c r="O10" i="21"/>
  <c r="O6" i="21"/>
  <c r="O10" i="20"/>
  <c r="O6" i="20"/>
  <c r="O6" i="42"/>
  <c r="O7" i="42"/>
  <c r="O93" i="10"/>
  <c r="O89" i="10"/>
  <c r="O7" i="19"/>
  <c r="O6" i="19"/>
  <c r="O85" i="10"/>
  <c r="O84" i="10"/>
  <c r="O40" i="18"/>
  <c r="O39" i="18"/>
  <c r="O37" i="18"/>
  <c r="O36" i="18"/>
  <c r="O35" i="18"/>
  <c r="O34" i="18"/>
  <c r="O33" i="18"/>
  <c r="O32" i="18"/>
  <c r="O30" i="18"/>
  <c r="O29" i="18"/>
  <c r="O28" i="18"/>
  <c r="O24" i="18"/>
  <c r="O23" i="18"/>
  <c r="O19" i="18"/>
  <c r="O18" i="18"/>
  <c r="O17" i="18"/>
  <c r="O16" i="18"/>
  <c r="O12" i="18"/>
  <c r="O9" i="18"/>
  <c r="O8" i="18"/>
  <c r="O7" i="18"/>
  <c r="O6" i="18"/>
  <c r="O80" i="10"/>
  <c r="O73" i="10"/>
  <c r="O72" i="10"/>
  <c r="O38" i="17"/>
  <c r="O37" i="17"/>
  <c r="O36" i="17"/>
  <c r="O35" i="17"/>
  <c r="O34" i="17"/>
  <c r="O33" i="17"/>
  <c r="O32" i="17"/>
  <c r="O28" i="17"/>
  <c r="O24" i="17"/>
  <c r="O23" i="17"/>
  <c r="O22" i="17"/>
  <c r="O21" i="17"/>
  <c r="O20" i="17"/>
  <c r="O19" i="17"/>
  <c r="O18" i="17"/>
  <c r="O17" i="17"/>
  <c r="O16" i="17"/>
  <c r="O12" i="17"/>
  <c r="O9" i="17"/>
  <c r="O8" i="17"/>
  <c r="O7" i="17"/>
  <c r="O6" i="17"/>
  <c r="O68" i="10"/>
  <c r="O67" i="10"/>
  <c r="O66" i="10"/>
  <c r="O65" i="10"/>
  <c r="O64" i="10"/>
  <c r="O63" i="10"/>
  <c r="O62" i="10"/>
  <c r="O61" i="10"/>
  <c r="O60" i="10"/>
  <c r="O59" i="10"/>
  <c r="O31" i="16"/>
  <c r="O30" i="16"/>
  <c r="O29" i="16"/>
  <c r="O25" i="16"/>
  <c r="O21" i="16"/>
  <c r="O20" i="16"/>
  <c r="O19" i="16"/>
  <c r="O13" i="16"/>
  <c r="O10" i="16"/>
  <c r="O9" i="16"/>
  <c r="O8" i="16"/>
  <c r="O7" i="16"/>
  <c r="O6" i="16"/>
  <c r="O40" i="14"/>
  <c r="O39" i="14"/>
  <c r="O38" i="14"/>
  <c r="O37" i="14"/>
  <c r="O36" i="14"/>
  <c r="O35" i="14"/>
  <c r="O34" i="14"/>
  <c r="O30" i="14"/>
  <c r="O29" i="14"/>
  <c r="O28" i="14"/>
  <c r="O24" i="14"/>
  <c r="O23" i="14"/>
  <c r="O22" i="14"/>
  <c r="O21" i="14"/>
  <c r="O20" i="14"/>
  <c r="O19" i="14"/>
  <c r="O18" i="14"/>
  <c r="O17" i="14"/>
  <c r="O16" i="14"/>
  <c r="O12" i="14"/>
  <c r="O9" i="14"/>
  <c r="O8" i="14"/>
  <c r="O7" i="14"/>
  <c r="O6" i="14"/>
  <c r="O55" i="10"/>
  <c r="O54" i="10"/>
  <c r="O53" i="10"/>
  <c r="O52" i="10"/>
  <c r="O48" i="10"/>
  <c r="O47" i="10"/>
  <c r="O46" i="10"/>
  <c r="O45" i="10"/>
  <c r="O44" i="10"/>
  <c r="O42" i="10"/>
  <c r="O43" i="10"/>
  <c r="O36" i="10"/>
  <c r="O48" i="13"/>
  <c r="O46" i="13"/>
  <c r="O42" i="13"/>
  <c r="O41" i="13"/>
  <c r="O40" i="13"/>
  <c r="O39" i="13"/>
  <c r="O38" i="13"/>
  <c r="O37" i="13"/>
  <c r="O36" i="13"/>
  <c r="O32" i="13"/>
  <c r="O31" i="13"/>
  <c r="O27" i="13"/>
  <c r="O26" i="13"/>
  <c r="O25" i="13"/>
  <c r="O24" i="13"/>
  <c r="O23" i="13"/>
  <c r="O22" i="13"/>
  <c r="O21" i="13"/>
  <c r="O20" i="13"/>
  <c r="O19" i="13"/>
  <c r="O18" i="13"/>
  <c r="O13" i="13"/>
  <c r="O14" i="13"/>
  <c r="O10" i="13"/>
  <c r="O9" i="13"/>
  <c r="O8" i="13"/>
  <c r="O7" i="13"/>
  <c r="O6" i="13"/>
  <c r="O32" i="10"/>
  <c r="O30" i="10"/>
  <c r="O28" i="10"/>
  <c r="O27" i="12"/>
  <c r="O23" i="12"/>
  <c r="O19" i="12"/>
  <c r="O18" i="12"/>
  <c r="O17" i="12"/>
  <c r="O16" i="12"/>
  <c r="O15" i="12"/>
  <c r="O11" i="12"/>
  <c r="O8" i="12"/>
  <c r="O7" i="12"/>
  <c r="O6" i="12"/>
  <c r="O82" i="11"/>
  <c r="O76" i="11"/>
  <c r="O75" i="11"/>
  <c r="O74" i="11"/>
  <c r="O73" i="11"/>
  <c r="O72" i="11"/>
  <c r="O71" i="11"/>
  <c r="O69" i="11"/>
  <c r="O68" i="11"/>
  <c r="O66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6" i="11"/>
  <c r="O45" i="11"/>
  <c r="O40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19" i="11"/>
  <c r="O18" i="11"/>
  <c r="O17" i="11"/>
  <c r="O12" i="11"/>
  <c r="O13" i="11"/>
  <c r="O9" i="11"/>
  <c r="O8" i="11"/>
  <c r="O7" i="11"/>
  <c r="O6" i="11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7" i="10"/>
  <c r="O6" i="10"/>
  <c r="O6" i="43"/>
  <c r="O7" i="43"/>
  <c r="O62" i="1"/>
  <c r="O61" i="1"/>
  <c r="O57" i="1"/>
  <c r="O53" i="1"/>
  <c r="O52" i="1"/>
  <c r="O28" i="7"/>
  <c r="O24" i="7"/>
  <c r="O20" i="7"/>
  <c r="O19" i="7"/>
  <c r="O18" i="7"/>
  <c r="O17" i="7"/>
  <c r="O13" i="7"/>
  <c r="O10" i="7"/>
  <c r="O9" i="7"/>
  <c r="O8" i="7"/>
  <c r="O7" i="7"/>
  <c r="O6" i="7"/>
  <c r="O48" i="1"/>
  <c r="O47" i="1"/>
  <c r="O46" i="1"/>
  <c r="O45" i="1"/>
  <c r="O42" i="6"/>
  <c r="O41" i="6"/>
  <c r="O40" i="6"/>
  <c r="O39" i="6"/>
  <c r="O38" i="6"/>
  <c r="O37" i="6"/>
  <c r="O36" i="6"/>
  <c r="O32" i="6"/>
  <c r="O31" i="6"/>
  <c r="O30" i="6"/>
  <c r="O29" i="6"/>
  <c r="O28" i="6"/>
  <c r="O27" i="6"/>
  <c r="O26" i="6"/>
  <c r="O25" i="6"/>
  <c r="O21" i="6"/>
  <c r="O20" i="6"/>
  <c r="O19" i="6"/>
  <c r="O18" i="6"/>
  <c r="O17" i="6"/>
  <c r="O16" i="6"/>
  <c r="O12" i="6"/>
  <c r="O9" i="6"/>
  <c r="O8" i="6"/>
  <c r="O7" i="6"/>
  <c r="O6" i="6"/>
  <c r="O35" i="5"/>
  <c r="O34" i="5"/>
  <c r="O33" i="5"/>
  <c r="O32" i="5"/>
  <c r="O31" i="5"/>
  <c r="O27" i="5"/>
  <c r="O26" i="5"/>
  <c r="O25" i="5"/>
  <c r="O24" i="5"/>
  <c r="O20" i="5"/>
  <c r="O19" i="5"/>
  <c r="O18" i="5"/>
  <c r="O17" i="5"/>
  <c r="O16" i="5"/>
  <c r="O12" i="5"/>
  <c r="O9" i="5"/>
  <c r="O8" i="5"/>
  <c r="O7" i="5"/>
  <c r="O6" i="5"/>
  <c r="O41" i="1"/>
  <c r="O40" i="1"/>
  <c r="O39" i="1"/>
  <c r="O38" i="1"/>
  <c r="O37" i="1"/>
  <c r="O36" i="1"/>
  <c r="O35" i="1"/>
  <c r="O40" i="4"/>
  <c r="O39" i="4"/>
  <c r="O38" i="4"/>
  <c r="O37" i="4"/>
  <c r="O36" i="4"/>
  <c r="O35" i="4"/>
  <c r="O34" i="4"/>
  <c r="O33" i="4"/>
  <c r="O29" i="4"/>
  <c r="O28" i="4"/>
  <c r="O27" i="4"/>
  <c r="O26" i="4"/>
  <c r="O25" i="4"/>
  <c r="O21" i="4"/>
  <c r="O20" i="4"/>
  <c r="O19" i="4"/>
  <c r="O18" i="4"/>
  <c r="O17" i="4"/>
  <c r="O16" i="4"/>
  <c r="O12" i="4"/>
  <c r="O9" i="4"/>
  <c r="O8" i="4"/>
  <c r="O7" i="4"/>
  <c r="O6" i="4"/>
  <c r="O38" i="3"/>
  <c r="O37" i="3"/>
  <c r="O36" i="3"/>
  <c r="O35" i="3"/>
  <c r="O31" i="3"/>
  <c r="O30" i="3"/>
  <c r="O29" i="3"/>
  <c r="O28" i="3"/>
  <c r="O27" i="3"/>
  <c r="O26" i="3"/>
  <c r="O22" i="3"/>
  <c r="O21" i="3"/>
  <c r="O20" i="3"/>
  <c r="O19" i="3"/>
  <c r="O18" i="3"/>
  <c r="O17" i="3"/>
  <c r="O16" i="3"/>
  <c r="O12" i="3"/>
  <c r="O9" i="3"/>
  <c r="O8" i="3"/>
  <c r="O7" i="3"/>
  <c r="O6" i="3"/>
  <c r="O31" i="1"/>
  <c r="O30" i="1"/>
  <c r="O29" i="1"/>
  <c r="O27" i="1"/>
  <c r="O26" i="1"/>
  <c r="O25" i="1"/>
  <c r="O24" i="1"/>
  <c r="O23" i="1"/>
  <c r="O22" i="1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39" i="2"/>
  <c r="O38" i="2"/>
  <c r="O30" i="2"/>
  <c r="O34" i="2"/>
  <c r="O33" i="2"/>
  <c r="O32" i="2"/>
  <c r="O31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2" i="2"/>
  <c r="O9" i="2"/>
  <c r="O8" i="2"/>
  <c r="O7" i="2"/>
  <c r="O6" i="2"/>
  <c r="O18" i="1"/>
  <c r="O17" i="1"/>
  <c r="O16" i="1"/>
  <c r="O14" i="1"/>
  <c r="O13" i="1"/>
  <c r="O12" i="1"/>
  <c r="O11" i="1"/>
  <c r="O10" i="1"/>
  <c r="O9" i="1"/>
  <c r="O8" i="1"/>
  <c r="O7" i="1"/>
  <c r="O6" i="1"/>
  <c r="N48" i="44" l="1"/>
  <c r="M48" i="44"/>
  <c r="L48" i="44"/>
  <c r="K48" i="44"/>
  <c r="J48" i="44"/>
  <c r="N42" i="44"/>
  <c r="M42" i="44"/>
  <c r="L42" i="44"/>
  <c r="K42" i="44"/>
  <c r="J42" i="44"/>
  <c r="N31" i="44"/>
  <c r="M31" i="44"/>
  <c r="L31" i="44"/>
  <c r="K31" i="44"/>
  <c r="J31" i="44"/>
  <c r="N19" i="44"/>
  <c r="M19" i="44"/>
  <c r="L19" i="44"/>
  <c r="K19" i="44"/>
  <c r="J19" i="44"/>
  <c r="N5" i="44"/>
  <c r="M5" i="44"/>
  <c r="L5" i="44"/>
  <c r="K5" i="44"/>
  <c r="J5" i="44"/>
  <c r="F67" i="44"/>
  <c r="E67" i="44"/>
  <c r="D67" i="44"/>
  <c r="C67" i="44"/>
  <c r="B67" i="44"/>
  <c r="F50" i="44"/>
  <c r="E50" i="44"/>
  <c r="D50" i="44"/>
  <c r="C50" i="44"/>
  <c r="B50" i="44"/>
  <c r="F45" i="44"/>
  <c r="E45" i="44"/>
  <c r="D45" i="44"/>
  <c r="C45" i="44"/>
  <c r="B45" i="44"/>
  <c r="F31" i="44"/>
  <c r="E31" i="44"/>
  <c r="D31" i="44"/>
  <c r="C31" i="44"/>
  <c r="B31" i="44"/>
  <c r="F20" i="44"/>
  <c r="E20" i="44"/>
  <c r="D20" i="44"/>
  <c r="C20" i="44"/>
  <c r="B20" i="44"/>
  <c r="F14" i="44"/>
  <c r="E14" i="44"/>
  <c r="D14" i="44"/>
  <c r="C14" i="44"/>
  <c r="B14" i="44"/>
  <c r="R18" i="37" l="1"/>
  <c r="P18" i="37"/>
  <c r="N18" i="37"/>
  <c r="L18" i="37"/>
  <c r="F25" i="37"/>
  <c r="D25" i="37"/>
  <c r="B25" i="37"/>
  <c r="B16" i="40"/>
  <c r="R20" i="40"/>
  <c r="P20" i="40"/>
  <c r="N20" i="40"/>
  <c r="L20" i="40"/>
  <c r="R9" i="40"/>
  <c r="P9" i="40"/>
  <c r="N9" i="40"/>
  <c r="L9" i="40"/>
  <c r="W21" i="34"/>
  <c r="W13" i="34"/>
  <c r="W9" i="34"/>
  <c r="W40" i="32"/>
  <c r="W32" i="41"/>
  <c r="K32" i="41"/>
  <c r="I32" i="41"/>
  <c r="G32" i="41"/>
  <c r="E32" i="41"/>
  <c r="C32" i="41"/>
  <c r="W22" i="41"/>
  <c r="Y24" i="34" s="1"/>
  <c r="U22" i="41"/>
  <c r="S22" i="41"/>
  <c r="M22" i="41"/>
  <c r="K22" i="41"/>
  <c r="I22" i="41"/>
  <c r="G22" i="41"/>
  <c r="E22" i="41"/>
  <c r="C22" i="41"/>
  <c r="AA21" i="41"/>
  <c r="Y21" i="41"/>
  <c r="Y22" i="41" s="1"/>
  <c r="O22" i="41"/>
  <c r="W37" i="22"/>
  <c r="K37" i="22"/>
  <c r="I37" i="22"/>
  <c r="G37" i="22"/>
  <c r="E37" i="22"/>
  <c r="C37" i="22"/>
  <c r="W27" i="22"/>
  <c r="I24" i="34" s="1"/>
  <c r="U27" i="22"/>
  <c r="S27" i="22"/>
  <c r="M27" i="22"/>
  <c r="K27" i="22"/>
  <c r="I27" i="22"/>
  <c r="G27" i="22"/>
  <c r="E27" i="22"/>
  <c r="C27" i="22"/>
  <c r="AA26" i="22"/>
  <c r="Y26" i="22"/>
  <c r="Q26" i="22"/>
  <c r="Q37" i="22" s="1"/>
  <c r="E29" i="34"/>
  <c r="W37" i="33"/>
  <c r="C29" i="34" s="1"/>
  <c r="U25" i="33"/>
  <c r="M25" i="33"/>
  <c r="G25" i="33"/>
  <c r="C25" i="33"/>
  <c r="G10" i="43"/>
  <c r="W8" i="43"/>
  <c r="U8" i="43"/>
  <c r="U10" i="43" s="1"/>
  <c r="S8" i="43"/>
  <c r="S10" i="43" s="1"/>
  <c r="M8" i="43"/>
  <c r="M10" i="43" s="1"/>
  <c r="K8" i="43"/>
  <c r="K10" i="43" s="1"/>
  <c r="I8" i="43"/>
  <c r="I10" i="43" s="1"/>
  <c r="G8" i="43"/>
  <c r="E8" i="43"/>
  <c r="E25" i="33" s="1"/>
  <c r="C8" i="43"/>
  <c r="C10" i="43" s="1"/>
  <c r="AA7" i="43"/>
  <c r="Y7" i="43"/>
  <c r="Q7" i="43"/>
  <c r="AA6" i="43"/>
  <c r="Y6" i="43"/>
  <c r="C13" i="34"/>
  <c r="W61" i="24"/>
  <c r="M29" i="34" s="1"/>
  <c r="K61" i="24"/>
  <c r="I61" i="24"/>
  <c r="G61" i="24"/>
  <c r="E61" i="24"/>
  <c r="C61" i="24"/>
  <c r="O29" i="34"/>
  <c r="W8" i="42"/>
  <c r="U8" i="42"/>
  <c r="S8" i="42"/>
  <c r="M8" i="42"/>
  <c r="K8" i="42"/>
  <c r="I8" i="42"/>
  <c r="G8" i="42"/>
  <c r="E8" i="42"/>
  <c r="C8" i="42"/>
  <c r="AA7" i="42"/>
  <c r="Y7" i="42"/>
  <c r="Q7" i="42"/>
  <c r="AA8" i="43" l="1"/>
  <c r="AA25" i="33" s="1"/>
  <c r="K25" i="33"/>
  <c r="O8" i="43"/>
  <c r="E10" i="43"/>
  <c r="I25" i="33"/>
  <c r="J29" i="40"/>
  <c r="J18" i="40"/>
  <c r="W25" i="34"/>
  <c r="W14" i="34"/>
  <c r="AA22" i="41"/>
  <c r="Q21" i="41"/>
  <c r="AE21" i="41" s="1"/>
  <c r="AC26" i="22"/>
  <c r="AE26" i="22"/>
  <c r="S25" i="33"/>
  <c r="Y8" i="43"/>
  <c r="Y10" i="43" s="1"/>
  <c r="W25" i="33"/>
  <c r="AC7" i="43"/>
  <c r="AE7" i="43"/>
  <c r="Q6" i="43"/>
  <c r="W10" i="43"/>
  <c r="C24" i="34" s="1"/>
  <c r="AE7" i="42"/>
  <c r="AC7" i="42"/>
  <c r="E11" i="34"/>
  <c r="E13" i="34"/>
  <c r="E10" i="34"/>
  <c r="E9" i="34"/>
  <c r="E8" i="34"/>
  <c r="E7" i="34"/>
  <c r="E6" i="34"/>
  <c r="E5" i="34"/>
  <c r="W10" i="42"/>
  <c r="W29" i="32" s="1"/>
  <c r="U10" i="42"/>
  <c r="U29" i="32" s="1"/>
  <c r="M10" i="42"/>
  <c r="M29" i="32" s="1"/>
  <c r="E24" i="34"/>
  <c r="S10" i="42"/>
  <c r="S29" i="32" s="1"/>
  <c r="K10" i="42"/>
  <c r="K29" i="32" s="1"/>
  <c r="I10" i="42"/>
  <c r="I29" i="32" s="1"/>
  <c r="G10" i="42"/>
  <c r="G29" i="32" s="1"/>
  <c r="E10" i="42"/>
  <c r="E29" i="32" s="1"/>
  <c r="C10" i="42"/>
  <c r="C29" i="32" s="1"/>
  <c r="AA6" i="42"/>
  <c r="Y6" i="42"/>
  <c r="C8" i="41"/>
  <c r="C10" i="41" s="1"/>
  <c r="E8" i="41"/>
  <c r="E10" i="41" s="1"/>
  <c r="G8" i="41"/>
  <c r="G10" i="41" s="1"/>
  <c r="I8" i="41"/>
  <c r="I10" i="41" s="1"/>
  <c r="K8" i="41"/>
  <c r="K10" i="41" s="1"/>
  <c r="M8" i="41"/>
  <c r="M10" i="41" s="1"/>
  <c r="S8" i="41"/>
  <c r="S10" i="41" s="1"/>
  <c r="U8" i="41"/>
  <c r="U10" i="41" s="1"/>
  <c r="W8" i="41"/>
  <c r="W10" i="41" s="1"/>
  <c r="W18" i="41"/>
  <c r="U18" i="41"/>
  <c r="U24" i="41" s="1"/>
  <c r="S18" i="41"/>
  <c r="S24" i="41" s="1"/>
  <c r="M18" i="41"/>
  <c r="M24" i="41" s="1"/>
  <c r="K18" i="41"/>
  <c r="K24" i="41" s="1"/>
  <c r="I18" i="41"/>
  <c r="I24" i="41" s="1"/>
  <c r="G18" i="41"/>
  <c r="G24" i="41" s="1"/>
  <c r="E18" i="41"/>
  <c r="E24" i="41" s="1"/>
  <c r="C18" i="41"/>
  <c r="C24" i="41" s="1"/>
  <c r="Y29" i="34"/>
  <c r="AA16" i="41"/>
  <c r="Y16" i="41"/>
  <c r="Q16" i="41"/>
  <c r="AE7" i="41"/>
  <c r="AA7" i="41"/>
  <c r="Y7" i="41"/>
  <c r="Q7" i="41"/>
  <c r="AA17" i="41"/>
  <c r="Y17" i="41"/>
  <c r="AA6" i="41"/>
  <c r="Y6" i="41"/>
  <c r="W63" i="1"/>
  <c r="J7" i="40" s="1"/>
  <c r="U63" i="1"/>
  <c r="S63" i="1"/>
  <c r="M63" i="1"/>
  <c r="K63" i="1"/>
  <c r="I63" i="1"/>
  <c r="G63" i="1"/>
  <c r="E63" i="1"/>
  <c r="C63" i="1"/>
  <c r="AA61" i="1"/>
  <c r="Y61" i="1"/>
  <c r="Q61" i="1"/>
  <c r="AC61" i="1" s="1"/>
  <c r="W51" i="24"/>
  <c r="M24" i="34" s="1"/>
  <c r="U51" i="24"/>
  <c r="S51" i="24"/>
  <c r="O51" i="24"/>
  <c r="M51" i="24"/>
  <c r="K51" i="24"/>
  <c r="I51" i="24"/>
  <c r="G51" i="24"/>
  <c r="E51" i="24"/>
  <c r="C51" i="24"/>
  <c r="AE50" i="24"/>
  <c r="AA50" i="24"/>
  <c r="Y50" i="24"/>
  <c r="Y51" i="24" s="1"/>
  <c r="Q50" i="24"/>
  <c r="AC50" i="24" s="1"/>
  <c r="AC51" i="24" s="1"/>
  <c r="G29" i="34"/>
  <c r="G10" i="34"/>
  <c r="G5" i="34"/>
  <c r="I29" i="34"/>
  <c r="I21" i="34"/>
  <c r="I10" i="34"/>
  <c r="I5" i="34"/>
  <c r="Q21" i="34"/>
  <c r="Q13" i="34"/>
  <c r="Q9" i="34"/>
  <c r="S21" i="34"/>
  <c r="S13" i="34"/>
  <c r="S9" i="34"/>
  <c r="K21" i="34"/>
  <c r="K13" i="34"/>
  <c r="K11" i="34"/>
  <c r="K10" i="34"/>
  <c r="U21" i="34"/>
  <c r="U13" i="34"/>
  <c r="U9" i="34"/>
  <c r="C11" i="34"/>
  <c r="C10" i="34"/>
  <c r="C5" i="34"/>
  <c r="O8" i="42" l="1"/>
  <c r="O10" i="42" s="1"/>
  <c r="O29" i="32" s="1"/>
  <c r="AC7" i="41"/>
  <c r="Q32" i="41"/>
  <c r="Y22" i="34"/>
  <c r="Y25" i="34" s="1"/>
  <c r="W24" i="41"/>
  <c r="Y8" i="42"/>
  <c r="Y10" i="42" s="1"/>
  <c r="Y29" i="32" s="1"/>
  <c r="O10" i="43"/>
  <c r="O25" i="33"/>
  <c r="Y25" i="33"/>
  <c r="Y13" i="34"/>
  <c r="Y14" i="34" s="1"/>
  <c r="Y18" i="41"/>
  <c r="Y24" i="41" s="1"/>
  <c r="Q22" i="41"/>
  <c r="AE22" i="41" s="1"/>
  <c r="AC21" i="41"/>
  <c r="AC22" i="41" s="1"/>
  <c r="O8" i="41"/>
  <c r="O10" i="41" s="1"/>
  <c r="Y8" i="41"/>
  <c r="Y10" i="41" s="1"/>
  <c r="AA10" i="43"/>
  <c r="AE6" i="43"/>
  <c r="AC6" i="43"/>
  <c r="AC8" i="43" s="1"/>
  <c r="Q8" i="43"/>
  <c r="Q25" i="33" s="1"/>
  <c r="AA24" i="41"/>
  <c r="O18" i="41"/>
  <c r="AE61" i="1"/>
  <c r="AA8" i="42"/>
  <c r="AA10" i="42"/>
  <c r="AA29" i="32" s="1"/>
  <c r="Q6" i="42"/>
  <c r="AE16" i="41"/>
  <c r="AC16" i="41"/>
  <c r="AA8" i="41"/>
  <c r="S28" i="41"/>
  <c r="Q6" i="41"/>
  <c r="Q8" i="41" s="1"/>
  <c r="Q10" i="41" s="1"/>
  <c r="Q17" i="41"/>
  <c r="AA18" i="41"/>
  <c r="I28" i="41"/>
  <c r="U28" i="41"/>
  <c r="C28" i="41"/>
  <c r="C34" i="41" s="1"/>
  <c r="E30" i="41" s="1"/>
  <c r="K28" i="41"/>
  <c r="AA10" i="41"/>
  <c r="E28" i="41"/>
  <c r="M28" i="41"/>
  <c r="G28" i="41"/>
  <c r="AA51" i="24"/>
  <c r="Q51" i="24"/>
  <c r="AE51" i="24" s="1"/>
  <c r="AE6" i="42" l="1"/>
  <c r="Q8" i="42"/>
  <c r="O24" i="41"/>
  <c r="O28" i="41" s="1"/>
  <c r="W28" i="41"/>
  <c r="AC10" i="43"/>
  <c r="AC25" i="33"/>
  <c r="Q10" i="43"/>
  <c r="AE10" i="43" s="1"/>
  <c r="AE8" i="43"/>
  <c r="AE25" i="33" s="1"/>
  <c r="AC17" i="41"/>
  <c r="AC18" i="41" s="1"/>
  <c r="AC24" i="41" s="1"/>
  <c r="Q18" i="41"/>
  <c r="Q24" i="41" s="1"/>
  <c r="AE24" i="41" s="1"/>
  <c r="AE8" i="41"/>
  <c r="AC6" i="42"/>
  <c r="Q10" i="42"/>
  <c r="AE6" i="41"/>
  <c r="AC6" i="41"/>
  <c r="AC8" i="41" s="1"/>
  <c r="AC10" i="41" s="1"/>
  <c r="AE17" i="41"/>
  <c r="E34" i="41"/>
  <c r="G30" i="41" s="1"/>
  <c r="G34" i="41" s="1"/>
  <c r="AE10" i="41"/>
  <c r="O27" i="22"/>
  <c r="AC8" i="42" l="1"/>
  <c r="AC10" i="42" s="1"/>
  <c r="AC29" i="32" s="1"/>
  <c r="Q29" i="32"/>
  <c r="AE10" i="42"/>
  <c r="AE29" i="32" s="1"/>
  <c r="AE8" i="42"/>
  <c r="AE18" i="41"/>
  <c r="Q28" i="41"/>
  <c r="K30" i="41"/>
  <c r="K34" i="41" s="1"/>
  <c r="I30" i="41"/>
  <c r="I34" i="41" s="1"/>
  <c r="Q30" i="41"/>
  <c r="Q27" i="11"/>
  <c r="AC27" i="11" s="1"/>
  <c r="O63" i="1"/>
  <c r="W11" i="33"/>
  <c r="U11" i="33"/>
  <c r="S11" i="33"/>
  <c r="M11" i="33"/>
  <c r="K11" i="33"/>
  <c r="I11" i="33"/>
  <c r="G11" i="33"/>
  <c r="E11" i="33"/>
  <c r="C11" i="33"/>
  <c r="Y62" i="1"/>
  <c r="Q62" i="1"/>
  <c r="Q63" i="1" s="1"/>
  <c r="AA25" i="22"/>
  <c r="Y25" i="22"/>
  <c r="Y27" i="22" s="1"/>
  <c r="W35" i="23"/>
  <c r="K29" i="34" s="1"/>
  <c r="K35" i="23"/>
  <c r="I35" i="23"/>
  <c r="G35" i="23"/>
  <c r="E35" i="23"/>
  <c r="C35" i="23"/>
  <c r="W16" i="23"/>
  <c r="U16" i="23"/>
  <c r="S16" i="23"/>
  <c r="M16" i="23"/>
  <c r="K16" i="23"/>
  <c r="I16" i="23"/>
  <c r="G16" i="23"/>
  <c r="E16" i="23"/>
  <c r="C16" i="23"/>
  <c r="AA15" i="23"/>
  <c r="Y15" i="23"/>
  <c r="Y16" i="23" s="1"/>
  <c r="Q15" i="23"/>
  <c r="Q35" i="23" s="1"/>
  <c r="W28" i="31"/>
  <c r="W29" i="34" s="1"/>
  <c r="K28" i="31"/>
  <c r="I28" i="31"/>
  <c r="G28" i="31"/>
  <c r="E28" i="31"/>
  <c r="C28" i="31"/>
  <c r="W11" i="31"/>
  <c r="AE11" i="31" s="1"/>
  <c r="U11" i="31"/>
  <c r="S11" i="31"/>
  <c r="M11" i="31"/>
  <c r="K11" i="31"/>
  <c r="I11" i="31"/>
  <c r="G11" i="31"/>
  <c r="E11" i="31"/>
  <c r="C11" i="31"/>
  <c r="AE10" i="31"/>
  <c r="AA10" i="31"/>
  <c r="Y10" i="31"/>
  <c r="Y11" i="31" s="1"/>
  <c r="O11" i="31"/>
  <c r="W20" i="31"/>
  <c r="U20" i="31"/>
  <c r="U22" i="31" s="1"/>
  <c r="S20" i="31"/>
  <c r="S22" i="31" s="1"/>
  <c r="M20" i="31"/>
  <c r="M22" i="31" s="1"/>
  <c r="K20" i="31"/>
  <c r="K22" i="31" s="1"/>
  <c r="I20" i="31"/>
  <c r="I22" i="31" s="1"/>
  <c r="G20" i="31"/>
  <c r="G22" i="31" s="1"/>
  <c r="E20" i="31"/>
  <c r="E22" i="31" s="1"/>
  <c r="C20" i="31"/>
  <c r="C22" i="31" s="1"/>
  <c r="AA19" i="31"/>
  <c r="Y19" i="31"/>
  <c r="Q19" i="31"/>
  <c r="W31" i="30"/>
  <c r="U29" i="34" s="1"/>
  <c r="K31" i="30"/>
  <c r="I31" i="30"/>
  <c r="G31" i="30"/>
  <c r="E31" i="30"/>
  <c r="C31" i="30"/>
  <c r="W11" i="30"/>
  <c r="U11" i="30"/>
  <c r="S11" i="30"/>
  <c r="O11" i="30"/>
  <c r="M11" i="30"/>
  <c r="K11" i="30"/>
  <c r="I11" i="30"/>
  <c r="G11" i="30"/>
  <c r="E11" i="30"/>
  <c r="C11" i="30"/>
  <c r="Y10" i="30"/>
  <c r="AA10" i="30" s="1"/>
  <c r="Q10" i="30"/>
  <c r="Q31" i="30" s="1"/>
  <c r="W31" i="29"/>
  <c r="S29" i="34" s="1"/>
  <c r="K31" i="29"/>
  <c r="I31" i="29"/>
  <c r="G31" i="29"/>
  <c r="E31" i="29"/>
  <c r="C31" i="29"/>
  <c r="W11" i="29"/>
  <c r="U11" i="29"/>
  <c r="S11" i="29"/>
  <c r="M11" i="29"/>
  <c r="K11" i="29"/>
  <c r="I11" i="29"/>
  <c r="G11" i="29"/>
  <c r="E11" i="29"/>
  <c r="C11" i="29"/>
  <c r="Y10" i="29"/>
  <c r="Y11" i="29" s="1"/>
  <c r="O11" i="29"/>
  <c r="W31" i="28"/>
  <c r="Q29" i="34" s="1"/>
  <c r="K31" i="28"/>
  <c r="I31" i="28"/>
  <c r="G31" i="28"/>
  <c r="E31" i="28"/>
  <c r="C31" i="28"/>
  <c r="W11" i="28"/>
  <c r="U11" i="28"/>
  <c r="S11" i="28"/>
  <c r="M11" i="28"/>
  <c r="K11" i="28"/>
  <c r="I11" i="28"/>
  <c r="G11" i="28"/>
  <c r="E11" i="28"/>
  <c r="C11" i="28"/>
  <c r="AA10" i="28"/>
  <c r="Y10" i="28"/>
  <c r="Y11" i="28" s="1"/>
  <c r="Q10" i="28"/>
  <c r="Q31" i="28" s="1"/>
  <c r="W94" i="10"/>
  <c r="W14" i="32" s="1"/>
  <c r="U94" i="10"/>
  <c r="U14" i="32" s="1"/>
  <c r="S94" i="10"/>
  <c r="S14" i="32" s="1"/>
  <c r="M94" i="10"/>
  <c r="M14" i="32" s="1"/>
  <c r="K94" i="10"/>
  <c r="K14" i="32" s="1"/>
  <c r="I94" i="10"/>
  <c r="I14" i="32" s="1"/>
  <c r="G94" i="10"/>
  <c r="G14" i="32" s="1"/>
  <c r="E94" i="10"/>
  <c r="E14" i="32" s="1"/>
  <c r="C94" i="10"/>
  <c r="C14" i="32" s="1"/>
  <c r="Y93" i="10"/>
  <c r="Y94" i="10" s="1"/>
  <c r="Q93" i="10"/>
  <c r="AE20" i="27"/>
  <c r="AE19" i="27"/>
  <c r="AE18" i="27"/>
  <c r="AE17" i="27"/>
  <c r="AE16" i="27"/>
  <c r="AE7" i="27"/>
  <c r="AE6" i="27"/>
  <c r="AE6" i="26"/>
  <c r="AA20" i="27"/>
  <c r="AA19" i="27"/>
  <c r="AA18" i="27"/>
  <c r="AA17" i="27"/>
  <c r="AA16" i="27"/>
  <c r="AA7" i="27"/>
  <c r="AA6" i="27"/>
  <c r="AA6" i="26"/>
  <c r="Y20" i="27"/>
  <c r="Y19" i="27"/>
  <c r="Y18" i="27"/>
  <c r="Y17" i="27"/>
  <c r="Y16" i="27"/>
  <c r="Y7" i="27"/>
  <c r="Y6" i="27"/>
  <c r="Y6" i="26"/>
  <c r="AE12" i="26"/>
  <c r="AE11" i="26"/>
  <c r="AE10" i="26"/>
  <c r="AE9" i="26"/>
  <c r="AE8" i="26"/>
  <c r="AE7" i="26"/>
  <c r="AA12" i="26"/>
  <c r="AA11" i="26"/>
  <c r="AA10" i="26"/>
  <c r="AA9" i="26"/>
  <c r="AA8" i="26"/>
  <c r="AA7" i="26"/>
  <c r="Y12" i="26"/>
  <c r="Y11" i="26"/>
  <c r="Y10" i="26"/>
  <c r="Y9" i="26"/>
  <c r="Y8" i="26"/>
  <c r="Y7" i="26"/>
  <c r="Y6" i="25"/>
  <c r="AA6" i="25" s="1"/>
  <c r="AE6" i="31"/>
  <c r="AA6" i="31"/>
  <c r="Y6" i="31"/>
  <c r="Y7" i="31" s="1"/>
  <c r="Y27" i="11"/>
  <c r="AA27" i="11"/>
  <c r="Y13" i="31" l="1"/>
  <c r="Y11" i="30"/>
  <c r="AA11" i="29"/>
  <c r="AA62" i="1"/>
  <c r="Y63" i="1"/>
  <c r="Y11" i="33" s="1"/>
  <c r="AA94" i="10"/>
  <c r="AA14" i="32" s="1"/>
  <c r="Y14" i="32"/>
  <c r="Q34" i="41"/>
  <c r="W30" i="41" s="1"/>
  <c r="AC62" i="1"/>
  <c r="O11" i="33"/>
  <c r="AA63" i="1"/>
  <c r="AA11" i="33" s="1"/>
  <c r="Q25" i="22"/>
  <c r="Q27" i="22" s="1"/>
  <c r="AA27" i="22"/>
  <c r="AE15" i="23"/>
  <c r="O16" i="23"/>
  <c r="AC15" i="23"/>
  <c r="AC16" i="23" s="1"/>
  <c r="Q16" i="23"/>
  <c r="AE16" i="23" s="1"/>
  <c r="AA16" i="23"/>
  <c r="AA11" i="31"/>
  <c r="Q10" i="31"/>
  <c r="Q28" i="31" s="1"/>
  <c r="Y20" i="31"/>
  <c r="Y22" i="31" s="1"/>
  <c r="AA20" i="31"/>
  <c r="W22" i="31"/>
  <c r="AC19" i="31"/>
  <c r="AC20" i="31" s="1"/>
  <c r="AC22" i="31" s="1"/>
  <c r="AE19" i="31"/>
  <c r="Q20" i="31"/>
  <c r="O20" i="31"/>
  <c r="O22" i="31" s="1"/>
  <c r="AC10" i="30"/>
  <c r="AC11" i="30" s="1"/>
  <c r="Q11" i="30"/>
  <c r="AA11" i="30"/>
  <c r="Q10" i="29"/>
  <c r="AE11" i="29"/>
  <c r="AA10" i="29"/>
  <c r="O11" i="28"/>
  <c r="AC10" i="28"/>
  <c r="AC11" i="28" s="1"/>
  <c r="Q11" i="28"/>
  <c r="AA11" i="28"/>
  <c r="O94" i="10"/>
  <c r="O14" i="32" s="1"/>
  <c r="Q94" i="10"/>
  <c r="Q14" i="32" s="1"/>
  <c r="AE93" i="10"/>
  <c r="AC93" i="10"/>
  <c r="AC94" i="10" s="1"/>
  <c r="AC14" i="32" s="1"/>
  <c r="AA93" i="10"/>
  <c r="AE27" i="11"/>
  <c r="AC63" i="1" l="1"/>
  <c r="AC11" i="33" s="1"/>
  <c r="W34" i="41"/>
  <c r="Y27" i="34"/>
  <c r="Y31" i="34" s="1"/>
  <c r="AA22" i="31"/>
  <c r="AE63" i="1"/>
  <c r="AE11" i="33" s="1"/>
  <c r="Q11" i="33"/>
  <c r="Q11" i="29"/>
  <c r="Q31" i="29"/>
  <c r="AE62" i="1"/>
  <c r="AE25" i="22"/>
  <c r="AC25" i="22"/>
  <c r="AC27" i="22" s="1"/>
  <c r="AE27" i="22"/>
  <c r="Q11" i="31"/>
  <c r="AC10" i="31"/>
  <c r="AC11" i="31" s="1"/>
  <c r="Q22" i="31"/>
  <c r="AE22" i="31" s="1"/>
  <c r="AE20" i="31"/>
  <c r="AE11" i="30"/>
  <c r="AE10" i="30"/>
  <c r="AC10" i="29"/>
  <c r="AC11" i="29" s="1"/>
  <c r="AE10" i="29"/>
  <c r="AE11" i="28"/>
  <c r="AE10" i="28"/>
  <c r="AE94" i="10"/>
  <c r="AE14" i="32" s="1"/>
  <c r="R33" i="40" l="1"/>
  <c r="P33" i="40"/>
  <c r="N33" i="40"/>
  <c r="L33" i="40"/>
  <c r="J17" i="40"/>
  <c r="J16" i="40"/>
  <c r="F17" i="40"/>
  <c r="F16" i="40"/>
  <c r="D17" i="40"/>
  <c r="D16" i="40"/>
  <c r="B17" i="40"/>
  <c r="N27" i="40" l="1"/>
  <c r="L27" i="40"/>
  <c r="P27" i="40"/>
  <c r="R27" i="40"/>
  <c r="R28" i="37"/>
  <c r="R42" i="37" s="1"/>
  <c r="P28" i="37"/>
  <c r="P42" i="37" s="1"/>
  <c r="N28" i="37"/>
  <c r="N42" i="37" s="1"/>
  <c r="L28" i="37"/>
  <c r="L42" i="37" s="1"/>
  <c r="H33" i="38"/>
  <c r="G33" i="38"/>
  <c r="F33" i="38"/>
  <c r="E33" i="38"/>
  <c r="D33" i="38"/>
  <c r="J8" i="37" l="1"/>
  <c r="J15" i="37"/>
  <c r="J14" i="37"/>
  <c r="J12" i="37"/>
  <c r="J11" i="37"/>
  <c r="J10" i="37"/>
  <c r="J6" i="37"/>
  <c r="J5" i="37"/>
  <c r="J4" i="37"/>
  <c r="J3" i="37"/>
  <c r="W26" i="33"/>
  <c r="AA26" i="33" s="1"/>
  <c r="U26" i="33"/>
  <c r="S26" i="33"/>
  <c r="O26" i="33"/>
  <c r="M26" i="33"/>
  <c r="K26" i="33"/>
  <c r="I26" i="33"/>
  <c r="G26" i="33"/>
  <c r="E26" i="33"/>
  <c r="C26" i="33"/>
  <c r="W27" i="33"/>
  <c r="U27" i="33"/>
  <c r="S27" i="33"/>
  <c r="O27" i="33"/>
  <c r="M27" i="33"/>
  <c r="K27" i="33"/>
  <c r="I27" i="33"/>
  <c r="G27" i="33"/>
  <c r="E27" i="33"/>
  <c r="C27" i="33"/>
  <c r="F15" i="37"/>
  <c r="F14" i="37"/>
  <c r="F12" i="37"/>
  <c r="F11" i="37"/>
  <c r="F10" i="37"/>
  <c r="F8" i="37"/>
  <c r="F6" i="37"/>
  <c r="F5" i="37"/>
  <c r="F4" i="37"/>
  <c r="F3" i="37"/>
  <c r="D15" i="37"/>
  <c r="D10" i="37"/>
  <c r="D14" i="37"/>
  <c r="D12" i="37"/>
  <c r="D11" i="37"/>
  <c r="D8" i="37"/>
  <c r="D6" i="37"/>
  <c r="D5" i="37"/>
  <c r="D4" i="37"/>
  <c r="B15" i="37"/>
  <c r="B14" i="37"/>
  <c r="B12" i="37"/>
  <c r="B11" i="37"/>
  <c r="B10" i="37"/>
  <c r="B8" i="37"/>
  <c r="B6" i="37"/>
  <c r="B5" i="37"/>
  <c r="B4" i="37"/>
  <c r="D3" i="37"/>
  <c r="B3" i="37"/>
  <c r="AA27" i="33" l="1"/>
  <c r="L35" i="37"/>
  <c r="N35" i="37"/>
  <c r="P35" i="37"/>
  <c r="R35" i="37"/>
  <c r="H18" i="38"/>
  <c r="G18" i="38"/>
  <c r="F18" i="38"/>
  <c r="E18" i="38"/>
  <c r="D18" i="38"/>
  <c r="W47" i="24"/>
  <c r="M22" i="34" s="1"/>
  <c r="U47" i="24"/>
  <c r="S47" i="24"/>
  <c r="O47" i="24"/>
  <c r="M47" i="24"/>
  <c r="K47" i="24"/>
  <c r="I47" i="24"/>
  <c r="G47" i="24"/>
  <c r="E47" i="24"/>
  <c r="C47" i="24"/>
  <c r="H67" i="39"/>
  <c r="G67" i="39"/>
  <c r="F67" i="39"/>
  <c r="E67" i="39"/>
  <c r="D67" i="39"/>
  <c r="C67" i="39"/>
  <c r="C60" i="39"/>
  <c r="D60" i="39"/>
  <c r="E60" i="39"/>
  <c r="F60" i="39"/>
  <c r="G60" i="39"/>
  <c r="H60" i="39"/>
  <c r="H39" i="39" l="1"/>
  <c r="G39" i="39"/>
  <c r="F39" i="39"/>
  <c r="E39" i="39"/>
  <c r="D39" i="39"/>
  <c r="C39" i="39"/>
  <c r="H18" i="39"/>
  <c r="G18" i="39"/>
  <c r="F18" i="39"/>
  <c r="E18" i="39"/>
  <c r="D18" i="39"/>
  <c r="C18" i="39"/>
  <c r="W22" i="24" l="1"/>
  <c r="M13" i="34" s="1"/>
  <c r="U22" i="24"/>
  <c r="S22" i="24"/>
  <c r="O22" i="24"/>
  <c r="M22" i="24"/>
  <c r="K22" i="24"/>
  <c r="I22" i="24"/>
  <c r="G22" i="24"/>
  <c r="E22" i="24"/>
  <c r="C22" i="24"/>
  <c r="AA21" i="24"/>
  <c r="Y21" i="24"/>
  <c r="Y22" i="24" s="1"/>
  <c r="Q21" i="24"/>
  <c r="AA46" i="24"/>
  <c r="Y46" i="24"/>
  <c r="Q46" i="24"/>
  <c r="AE46" i="24" s="1"/>
  <c r="AC21" i="24" l="1"/>
  <c r="AC22" i="24" s="1"/>
  <c r="Q61" i="24"/>
  <c r="AE21" i="24"/>
  <c r="AA22" i="24"/>
  <c r="Q22" i="24"/>
  <c r="AE22" i="24" s="1"/>
  <c r="AC46" i="24"/>
  <c r="G23" i="35" l="1"/>
  <c r="H23" i="35" s="1"/>
  <c r="J23" i="35" l="1"/>
  <c r="I23" i="35"/>
  <c r="H15" i="35"/>
  <c r="H14" i="35"/>
  <c r="J15" i="35"/>
  <c r="J14" i="35"/>
  <c r="J9" i="35"/>
  <c r="J8" i="35"/>
  <c r="J7" i="35"/>
  <c r="G22" i="35"/>
  <c r="J22" i="35" s="1"/>
  <c r="G21" i="35"/>
  <c r="J21" i="35" s="1"/>
  <c r="G20" i="35"/>
  <c r="I20" i="35" s="1"/>
  <c r="G19" i="35"/>
  <c r="H19" i="35" s="1"/>
  <c r="G18" i="35"/>
  <c r="J18" i="35" s="1"/>
  <c r="G17" i="35"/>
  <c r="J17" i="35" s="1"/>
  <c r="G16" i="35"/>
  <c r="J16" i="35" s="1"/>
  <c r="G15" i="35"/>
  <c r="I15" i="35" s="1"/>
  <c r="G14" i="35"/>
  <c r="I14" i="35" s="1"/>
  <c r="G13" i="35"/>
  <c r="J13" i="35" s="1"/>
  <c r="G12" i="35"/>
  <c r="J12" i="35" s="1"/>
  <c r="G11" i="35"/>
  <c r="J11" i="35" s="1"/>
  <c r="G10" i="35"/>
  <c r="J10" i="35" s="1"/>
  <c r="W20" i="7"/>
  <c r="W18" i="7"/>
  <c r="W19" i="7"/>
  <c r="W17" i="7"/>
  <c r="Q34" i="4"/>
  <c r="H10" i="35" l="1"/>
  <c r="I12" i="35"/>
  <c r="I10" i="35"/>
  <c r="I11" i="35"/>
  <c r="H11" i="35"/>
  <c r="I13" i="35"/>
  <c r="H12" i="35"/>
  <c r="H13" i="35"/>
  <c r="H21" i="35"/>
  <c r="H17" i="35"/>
  <c r="I21" i="35"/>
  <c r="I22" i="35"/>
  <c r="H22" i="35"/>
  <c r="J20" i="35"/>
  <c r="H20" i="35"/>
  <c r="I19" i="35"/>
  <c r="J19" i="35"/>
  <c r="H18" i="35"/>
  <c r="I18" i="35"/>
  <c r="I17" i="35"/>
  <c r="H16" i="35"/>
  <c r="I16" i="35"/>
  <c r="W23" i="1"/>
  <c r="W22" i="1"/>
  <c r="Q30" i="18"/>
  <c r="Q18" i="18"/>
  <c r="C12" i="34" l="1"/>
  <c r="AE20" i="30"/>
  <c r="AA20" i="30"/>
  <c r="AA19" i="30"/>
  <c r="Y20" i="30"/>
  <c r="Y19" i="30"/>
  <c r="Y6" i="30"/>
  <c r="AE20" i="29"/>
  <c r="AA20" i="29"/>
  <c r="Y20" i="29"/>
  <c r="Y19" i="29"/>
  <c r="Y6" i="29"/>
  <c r="Y7" i="29" s="1"/>
  <c r="Y13" i="29" s="1"/>
  <c r="AE20" i="28"/>
  <c r="AE6" i="23"/>
  <c r="AA20" i="28"/>
  <c r="AA6" i="23"/>
  <c r="Y20" i="28"/>
  <c r="Y19" i="28"/>
  <c r="AA19" i="28" s="1"/>
  <c r="Y6" i="28"/>
  <c r="AA6" i="28" s="1"/>
  <c r="Y21" i="27"/>
  <c r="Y23" i="27" s="1"/>
  <c r="Y8" i="27"/>
  <c r="Y10" i="27" s="1"/>
  <c r="Y13" i="26"/>
  <c r="Y15" i="26" s="1"/>
  <c r="AE45" i="25"/>
  <c r="AE44" i="25"/>
  <c r="AE30" i="25"/>
  <c r="AE29" i="25"/>
  <c r="AE20" i="25"/>
  <c r="AE16" i="25"/>
  <c r="AE15" i="25"/>
  <c r="AE6" i="24"/>
  <c r="AA45" i="25"/>
  <c r="AA44" i="25"/>
  <c r="AA43" i="25"/>
  <c r="AA42" i="25"/>
  <c r="AA30" i="25"/>
  <c r="AA29" i="25"/>
  <c r="AA20" i="25"/>
  <c r="AA16" i="25"/>
  <c r="AA15" i="25"/>
  <c r="AA6" i="24"/>
  <c r="Y21" i="29" l="1"/>
  <c r="Y23" i="29" s="1"/>
  <c r="Y7" i="30"/>
  <c r="Y13" i="30" s="1"/>
  <c r="AA6" i="30"/>
  <c r="AA19" i="29"/>
  <c r="AA6" i="29"/>
  <c r="Y21" i="30"/>
  <c r="Y23" i="30" s="1"/>
  <c r="Y21" i="28"/>
  <c r="Y23" i="28" s="1"/>
  <c r="Y7" i="28"/>
  <c r="Y13" i="28" s="1"/>
  <c r="Y45" i="25" l="1"/>
  <c r="Y44" i="25"/>
  <c r="Y43" i="25"/>
  <c r="Y42" i="25"/>
  <c r="Y41" i="25"/>
  <c r="AA41" i="25" s="1"/>
  <c r="Y40" i="25"/>
  <c r="AA40" i="25" s="1"/>
  <c r="Y39" i="25"/>
  <c r="AA39" i="25" s="1"/>
  <c r="Y38" i="25"/>
  <c r="AA38" i="25" s="1"/>
  <c r="Y37" i="25"/>
  <c r="AA37" i="25" s="1"/>
  <c r="Y36" i="25"/>
  <c r="AA36" i="25" s="1"/>
  <c r="Y35" i="25"/>
  <c r="AA35" i="25" s="1"/>
  <c r="Y34" i="25"/>
  <c r="AA34" i="25" s="1"/>
  <c r="Y33" i="25"/>
  <c r="AA33" i="25" s="1"/>
  <c r="Y32" i="25"/>
  <c r="AA32" i="25" s="1"/>
  <c r="Y31" i="25"/>
  <c r="AA31" i="25" s="1"/>
  <c r="Y30" i="25"/>
  <c r="Y29" i="25"/>
  <c r="Y20" i="25"/>
  <c r="Y21" i="25" s="1"/>
  <c r="Y16" i="25"/>
  <c r="Y15" i="25"/>
  <c r="Y11" i="25"/>
  <c r="Y7" i="25"/>
  <c r="AA7" i="25" s="1"/>
  <c r="AE40" i="24"/>
  <c r="AE39" i="24"/>
  <c r="AE38" i="24"/>
  <c r="AE37" i="24"/>
  <c r="AE36" i="24"/>
  <c r="AE32" i="24"/>
  <c r="AE31" i="24"/>
  <c r="AE30" i="24"/>
  <c r="AE17" i="24"/>
  <c r="AE11" i="24"/>
  <c r="AE7" i="24"/>
  <c r="AA45" i="24"/>
  <c r="AA44" i="24"/>
  <c r="AA43" i="24"/>
  <c r="AA42" i="24"/>
  <c r="AA41" i="24"/>
  <c r="AA40" i="24"/>
  <c r="AA39" i="24"/>
  <c r="AA38" i="24"/>
  <c r="AA37" i="24"/>
  <c r="AA36" i="24"/>
  <c r="AA32" i="24"/>
  <c r="AA31" i="24"/>
  <c r="AA30" i="24"/>
  <c r="AA17" i="24"/>
  <c r="AA12" i="24"/>
  <c r="AA11" i="24"/>
  <c r="AA7" i="24"/>
  <c r="Y45" i="24"/>
  <c r="Y44" i="24"/>
  <c r="Y43" i="24"/>
  <c r="Y42" i="24"/>
  <c r="Y41" i="24"/>
  <c r="Y40" i="24"/>
  <c r="Y39" i="24"/>
  <c r="Y38" i="24"/>
  <c r="Y37" i="24"/>
  <c r="Y36" i="24"/>
  <c r="Y32" i="24"/>
  <c r="Y31" i="24"/>
  <c r="Y30" i="24"/>
  <c r="Y17" i="24"/>
  <c r="Y16" i="24"/>
  <c r="AA16" i="24" s="1"/>
  <c r="Y12" i="24"/>
  <c r="Y11" i="24"/>
  <c r="Y7" i="24"/>
  <c r="Y6" i="24"/>
  <c r="Y12" i="25" l="1"/>
  <c r="AA11" i="25"/>
  <c r="Y47" i="24"/>
  <c r="Y46" i="25"/>
  <c r="Y48" i="25" s="1"/>
  <c r="Y17" i="25"/>
  <c r="Y8" i="25"/>
  <c r="Y33" i="24"/>
  <c r="Y53" i="24" s="1"/>
  <c r="Y18" i="24"/>
  <c r="Y13" i="24"/>
  <c r="Y8" i="24"/>
  <c r="Y11" i="9"/>
  <c r="Y10" i="9"/>
  <c r="Y9" i="9"/>
  <c r="Y8" i="9"/>
  <c r="Y7" i="9"/>
  <c r="Y6" i="9"/>
  <c r="Y5" i="9"/>
  <c r="Y28" i="7"/>
  <c r="Y24" i="7"/>
  <c r="Y20" i="7"/>
  <c r="Y19" i="7"/>
  <c r="Y18" i="7"/>
  <c r="Y17" i="7"/>
  <c r="Y13" i="7"/>
  <c r="Y12" i="7"/>
  <c r="Y11" i="7"/>
  <c r="Y10" i="7"/>
  <c r="Y9" i="7"/>
  <c r="Y8" i="7"/>
  <c r="Y7" i="7"/>
  <c r="Y6" i="7"/>
  <c r="Y42" i="6"/>
  <c r="Y41" i="6"/>
  <c r="Y40" i="6"/>
  <c r="Y39" i="6"/>
  <c r="Y38" i="6"/>
  <c r="Y37" i="6"/>
  <c r="Y36" i="6"/>
  <c r="Y32" i="6"/>
  <c r="Y31" i="6"/>
  <c r="Y30" i="6"/>
  <c r="Y29" i="6"/>
  <c r="Y28" i="6"/>
  <c r="Y27" i="6"/>
  <c r="Y26" i="6"/>
  <c r="Y25" i="6"/>
  <c r="Y21" i="6"/>
  <c r="Y20" i="6"/>
  <c r="Y19" i="6"/>
  <c r="Y18" i="6"/>
  <c r="Y17" i="6"/>
  <c r="Y16" i="6"/>
  <c r="Y12" i="6"/>
  <c r="Y11" i="6"/>
  <c r="Y10" i="6"/>
  <c r="Y9" i="6"/>
  <c r="Y8" i="6"/>
  <c r="Y7" i="6"/>
  <c r="Y6" i="6"/>
  <c r="Y35" i="5"/>
  <c r="Y34" i="5"/>
  <c r="Y33" i="5"/>
  <c r="Y32" i="5"/>
  <c r="Y31" i="5"/>
  <c r="Y27" i="5"/>
  <c r="Y26" i="5"/>
  <c r="Y25" i="5"/>
  <c r="Y24" i="5"/>
  <c r="Y20" i="5"/>
  <c r="Y19" i="5"/>
  <c r="Y18" i="5"/>
  <c r="Y17" i="5"/>
  <c r="Y16" i="5"/>
  <c r="Y12" i="5"/>
  <c r="Y11" i="5"/>
  <c r="Y10" i="5"/>
  <c r="Y9" i="5"/>
  <c r="Y8" i="5"/>
  <c r="Y7" i="5"/>
  <c r="Y6" i="5"/>
  <c r="AC34" i="4"/>
  <c r="Y40" i="4"/>
  <c r="Y39" i="4"/>
  <c r="Y38" i="4"/>
  <c r="Y37" i="4"/>
  <c r="Y36" i="4"/>
  <c r="Y35" i="4"/>
  <c r="Y34" i="4"/>
  <c r="Y33" i="4"/>
  <c r="Y29" i="4"/>
  <c r="Y28" i="4"/>
  <c r="Y27" i="4"/>
  <c r="Y26" i="4"/>
  <c r="Y25" i="4"/>
  <c r="Y21" i="4"/>
  <c r="Y20" i="4"/>
  <c r="Y19" i="4"/>
  <c r="Y18" i="4"/>
  <c r="Y17" i="4"/>
  <c r="Y16" i="4"/>
  <c r="Y12" i="4"/>
  <c r="Y11" i="4"/>
  <c r="Y10" i="4"/>
  <c r="Y9" i="4"/>
  <c r="Y8" i="4"/>
  <c r="Y7" i="4"/>
  <c r="Y6" i="4"/>
  <c r="Y38" i="3"/>
  <c r="Y37" i="3"/>
  <c r="Y36" i="3"/>
  <c r="Y35" i="3"/>
  <c r="Y31" i="3"/>
  <c r="Y30" i="3"/>
  <c r="Y29" i="3"/>
  <c r="Y28" i="3"/>
  <c r="Y27" i="3"/>
  <c r="Y26" i="3"/>
  <c r="Y22" i="3"/>
  <c r="Y21" i="3"/>
  <c r="Y20" i="3"/>
  <c r="Y19" i="3"/>
  <c r="Y18" i="3"/>
  <c r="Y17" i="3"/>
  <c r="Y16" i="3"/>
  <c r="Y12" i="3"/>
  <c r="Y11" i="3"/>
  <c r="Y10" i="3"/>
  <c r="Y9" i="3"/>
  <c r="Y8" i="3"/>
  <c r="Y7" i="3"/>
  <c r="Y6" i="3"/>
  <c r="Y27" i="33" l="1"/>
  <c r="Y26" i="33"/>
  <c r="Y24" i="24"/>
  <c r="Y23" i="25"/>
  <c r="Y55" i="2" l="1"/>
  <c r="Y54" i="2"/>
  <c r="Y53" i="2"/>
  <c r="Y52" i="2"/>
  <c r="Y51" i="2"/>
  <c r="Y50" i="2"/>
  <c r="Y49" i="2"/>
  <c r="Y48" i="2"/>
  <c r="Y47" i="2"/>
  <c r="Y46" i="2"/>
  <c r="Y45" i="2"/>
  <c r="Y44" i="2"/>
  <c r="Y43" i="2"/>
  <c r="Y39" i="2"/>
  <c r="Y38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2" i="2"/>
  <c r="Y11" i="2"/>
  <c r="Y10" i="2"/>
  <c r="Y9" i="2"/>
  <c r="Y8" i="2"/>
  <c r="Y7" i="2"/>
  <c r="Y6" i="2"/>
  <c r="Y57" i="1" l="1"/>
  <c r="Y53" i="1"/>
  <c r="Y52" i="1"/>
  <c r="Y48" i="1"/>
  <c r="Y47" i="1"/>
  <c r="Y46" i="1"/>
  <c r="Y45" i="1"/>
  <c r="Y41" i="1"/>
  <c r="Y40" i="1"/>
  <c r="Y39" i="1"/>
  <c r="Y38" i="1"/>
  <c r="Y37" i="1"/>
  <c r="Y36" i="1"/>
  <c r="Y35" i="1"/>
  <c r="Y31" i="1"/>
  <c r="Y30" i="1"/>
  <c r="Y29" i="1"/>
  <c r="Y28" i="1"/>
  <c r="Y27" i="1"/>
  <c r="Y26" i="1"/>
  <c r="Y25" i="1"/>
  <c r="Y24" i="1"/>
  <c r="Y23" i="1"/>
  <c r="Y22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10" i="20"/>
  <c r="Y6" i="20"/>
  <c r="Y7" i="19"/>
  <c r="Y6" i="19"/>
  <c r="AC30" i="18"/>
  <c r="AC18" i="18"/>
  <c r="Y46" i="18"/>
  <c r="Y45" i="18"/>
  <c r="Y44" i="18"/>
  <c r="Y40" i="18"/>
  <c r="Y39" i="18"/>
  <c r="Y38" i="18"/>
  <c r="Y37" i="18"/>
  <c r="Y36" i="18"/>
  <c r="Y35" i="18"/>
  <c r="Y34" i="18"/>
  <c r="Y33" i="18"/>
  <c r="Y32" i="18"/>
  <c r="Y31" i="18"/>
  <c r="Y30" i="18"/>
  <c r="Y29" i="18"/>
  <c r="Y28" i="18"/>
  <c r="Y24" i="18"/>
  <c r="Y23" i="18"/>
  <c r="Y19" i="18"/>
  <c r="Y18" i="18"/>
  <c r="Y17" i="18"/>
  <c r="Y16" i="18"/>
  <c r="Y12" i="18"/>
  <c r="Y11" i="18"/>
  <c r="Y10" i="18"/>
  <c r="Y9" i="18"/>
  <c r="Y8" i="18"/>
  <c r="Y7" i="18"/>
  <c r="Y6" i="18"/>
  <c r="Q42" i="24"/>
  <c r="Q44" i="24"/>
  <c r="Q43" i="24"/>
  <c r="Q41" i="24"/>
  <c r="Q40" i="24"/>
  <c r="AC40" i="24" s="1"/>
  <c r="Q31" i="24"/>
  <c r="AC31" i="24" s="1"/>
  <c r="AE41" i="24" l="1"/>
  <c r="AC41" i="24"/>
  <c r="AE43" i="24"/>
  <c r="AC43" i="24"/>
  <c r="AE44" i="24"/>
  <c r="AC44" i="24"/>
  <c r="AE42" i="24"/>
  <c r="AC42" i="24"/>
  <c r="Y43" i="17"/>
  <c r="Y42" i="17"/>
  <c r="Y38" i="17"/>
  <c r="Y37" i="17"/>
  <c r="Y36" i="17"/>
  <c r="Y35" i="17"/>
  <c r="Y34" i="17"/>
  <c r="Y33" i="17"/>
  <c r="Y32" i="17"/>
  <c r="Y28" i="17"/>
  <c r="Y24" i="17"/>
  <c r="Y23" i="17"/>
  <c r="Y22" i="17"/>
  <c r="Y21" i="17"/>
  <c r="Y20" i="17"/>
  <c r="Y19" i="17"/>
  <c r="Y18" i="17"/>
  <c r="Y17" i="17"/>
  <c r="Y16" i="17"/>
  <c r="Y12" i="17"/>
  <c r="Y11" i="17"/>
  <c r="Y10" i="17"/>
  <c r="Y9" i="17"/>
  <c r="Y8" i="17"/>
  <c r="Y7" i="17"/>
  <c r="Y6" i="17"/>
  <c r="Y31" i="16" l="1"/>
  <c r="Y30" i="16"/>
  <c r="Y29" i="16"/>
  <c r="Y25" i="16"/>
  <c r="Y21" i="16"/>
  <c r="Y20" i="16"/>
  <c r="Y19" i="16"/>
  <c r="Y18" i="16"/>
  <c r="Y17" i="16"/>
  <c r="Y13" i="16"/>
  <c r="Y12" i="16"/>
  <c r="Y11" i="16"/>
  <c r="Y10" i="16"/>
  <c r="Y9" i="16"/>
  <c r="Y8" i="16"/>
  <c r="Y7" i="16"/>
  <c r="Y6" i="16"/>
  <c r="Y46" i="14"/>
  <c r="Y45" i="14"/>
  <c r="Y44" i="14"/>
  <c r="Y40" i="14"/>
  <c r="AA40" i="14" s="1"/>
  <c r="Y39" i="14"/>
  <c r="Y38" i="14"/>
  <c r="Y37" i="14"/>
  <c r="Y36" i="14"/>
  <c r="Y35" i="14"/>
  <c r="Y34" i="14"/>
  <c r="Y30" i="14"/>
  <c r="Y29" i="14"/>
  <c r="Y28" i="14"/>
  <c r="Y24" i="14"/>
  <c r="Y23" i="14"/>
  <c r="Y22" i="14"/>
  <c r="Y21" i="14"/>
  <c r="Y20" i="14"/>
  <c r="Y19" i="14"/>
  <c r="Y18" i="14"/>
  <c r="Y17" i="14"/>
  <c r="Y16" i="14"/>
  <c r="Y12" i="14"/>
  <c r="Y11" i="14"/>
  <c r="Y10" i="14"/>
  <c r="Y9" i="14"/>
  <c r="Y8" i="14"/>
  <c r="Y7" i="14"/>
  <c r="Y6" i="14"/>
  <c r="W28" i="13" l="1"/>
  <c r="Y48" i="13"/>
  <c r="Y47" i="13"/>
  <c r="Y46" i="13"/>
  <c r="Y42" i="13"/>
  <c r="Y41" i="13"/>
  <c r="Y40" i="13"/>
  <c r="Y39" i="13"/>
  <c r="Y38" i="13"/>
  <c r="Y37" i="13"/>
  <c r="Y36" i="13"/>
  <c r="Y32" i="13"/>
  <c r="Y31" i="13"/>
  <c r="Y27" i="13"/>
  <c r="Y26" i="13"/>
  <c r="Y25" i="13"/>
  <c r="Y24" i="13"/>
  <c r="Y23" i="13"/>
  <c r="Y22" i="13"/>
  <c r="Y21" i="13"/>
  <c r="Y20" i="13"/>
  <c r="Y19" i="13"/>
  <c r="Y18" i="13"/>
  <c r="Y14" i="13"/>
  <c r="Y13" i="13"/>
  <c r="Y12" i="13"/>
  <c r="Y11" i="13"/>
  <c r="Y10" i="13"/>
  <c r="Y9" i="13"/>
  <c r="Y8" i="13"/>
  <c r="Y7" i="13"/>
  <c r="Y6" i="13"/>
  <c r="Y27" i="12"/>
  <c r="Y23" i="12"/>
  <c r="Y19" i="12"/>
  <c r="Y18" i="12"/>
  <c r="Y17" i="12"/>
  <c r="Y16" i="12"/>
  <c r="Y15" i="12"/>
  <c r="Y11" i="12"/>
  <c r="Y10" i="12"/>
  <c r="Y9" i="12"/>
  <c r="Y8" i="12"/>
  <c r="Y7" i="12"/>
  <c r="Y6" i="12"/>
  <c r="Y82" i="11" l="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6" i="11"/>
  <c r="Y45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6" i="11"/>
  <c r="Y25" i="11"/>
  <c r="Y24" i="11"/>
  <c r="Y23" i="11"/>
  <c r="Y22" i="11"/>
  <c r="Y21" i="11"/>
  <c r="Y20" i="11"/>
  <c r="Y19" i="11"/>
  <c r="Y18" i="11"/>
  <c r="Y17" i="11"/>
  <c r="Y13" i="11"/>
  <c r="Y12" i="11"/>
  <c r="Y11" i="11"/>
  <c r="Y10" i="11"/>
  <c r="Y9" i="11"/>
  <c r="Y8" i="11"/>
  <c r="Y7" i="11"/>
  <c r="Y6" i="11"/>
  <c r="Y89" i="10" l="1"/>
  <c r="Y85" i="10"/>
  <c r="AA85" i="10" s="1"/>
  <c r="Y84" i="10"/>
  <c r="Y80" i="10"/>
  <c r="Y79" i="10"/>
  <c r="AA79" i="10" s="1"/>
  <c r="Y78" i="10"/>
  <c r="AA78" i="10" s="1"/>
  <c r="Y77" i="10"/>
  <c r="Y76" i="10"/>
  <c r="AA76" i="10" s="1"/>
  <c r="Y75" i="10"/>
  <c r="Y74" i="10"/>
  <c r="Y73" i="10"/>
  <c r="Y72" i="10"/>
  <c r="AA72" i="10" s="1"/>
  <c r="Y68" i="10"/>
  <c r="Y67" i="10"/>
  <c r="AA67" i="10" s="1"/>
  <c r="Y66" i="10"/>
  <c r="AA66" i="10" s="1"/>
  <c r="Y65" i="10"/>
  <c r="AA65" i="10" s="1"/>
  <c r="Y64" i="10"/>
  <c r="Y63" i="10"/>
  <c r="Y62" i="10"/>
  <c r="Y61" i="10"/>
  <c r="Y60" i="10"/>
  <c r="AA60" i="10" s="1"/>
  <c r="Y59" i="10"/>
  <c r="AA59" i="10" s="1"/>
  <c r="Y55" i="10"/>
  <c r="Y54" i="10"/>
  <c r="Y53" i="10"/>
  <c r="Y52" i="10"/>
  <c r="AA52" i="10" s="1"/>
  <c r="Y48" i="10"/>
  <c r="Y47" i="10"/>
  <c r="AA47" i="10" s="1"/>
  <c r="Y46" i="10"/>
  <c r="Y45" i="10"/>
  <c r="AA45" i="10" s="1"/>
  <c r="Y44" i="10"/>
  <c r="AA44" i="10" s="1"/>
  <c r="Y43" i="10"/>
  <c r="AA43" i="10" s="1"/>
  <c r="Y42" i="10"/>
  <c r="Y41" i="10"/>
  <c r="AA41" i="10" s="1"/>
  <c r="Y40" i="10"/>
  <c r="Y36" i="10"/>
  <c r="AA36" i="10" s="1"/>
  <c r="Y32" i="10"/>
  <c r="AA32" i="10" s="1"/>
  <c r="Y31" i="10"/>
  <c r="Y30" i="10"/>
  <c r="Y29" i="10"/>
  <c r="AA29" i="10" s="1"/>
  <c r="Y28" i="10"/>
  <c r="AE11" i="23"/>
  <c r="AE6" i="22"/>
  <c r="AA24" i="23"/>
  <c r="AA11" i="23"/>
  <c r="AA10" i="23"/>
  <c r="AA6" i="22"/>
  <c r="Y24" i="23"/>
  <c r="Y25" i="23" s="1"/>
  <c r="Y27" i="23" s="1"/>
  <c r="Y11" i="23"/>
  <c r="Y10" i="23"/>
  <c r="Y6" i="23"/>
  <c r="Y7" i="23" s="1"/>
  <c r="AE21" i="22"/>
  <c r="Y21" i="22"/>
  <c r="Y20" i="22"/>
  <c r="Y11" i="22"/>
  <c r="Y12" i="22" s="1"/>
  <c r="Y7" i="22"/>
  <c r="Y6" i="22"/>
  <c r="AA21" i="22"/>
  <c r="AA20" i="22"/>
  <c r="AA11" i="22"/>
  <c r="AA7" i="22"/>
  <c r="AA6" i="21"/>
  <c r="Y32" i="21"/>
  <c r="Y33" i="21" s="1"/>
  <c r="Y31" i="21"/>
  <c r="Y27" i="21"/>
  <c r="Y26" i="21"/>
  <c r="Y25" i="21"/>
  <c r="Y24" i="21"/>
  <c r="Y15" i="21"/>
  <c r="Y14" i="21"/>
  <c r="Y16" i="21" s="1"/>
  <c r="Y10" i="21"/>
  <c r="Y11" i="21" s="1"/>
  <c r="Y6" i="21"/>
  <c r="AE32" i="21"/>
  <c r="AE31" i="21"/>
  <c r="AE26" i="21"/>
  <c r="AE15" i="21"/>
  <c r="AE14" i="21"/>
  <c r="AA32" i="21"/>
  <c r="AA31" i="21"/>
  <c r="AA27" i="21"/>
  <c r="AA26" i="21"/>
  <c r="AA25" i="21"/>
  <c r="AA24" i="21"/>
  <c r="AA15" i="21"/>
  <c r="AA14" i="21"/>
  <c r="AA10" i="21"/>
  <c r="AA6" i="7"/>
  <c r="Y7" i="21"/>
  <c r="AE11" i="9"/>
  <c r="AE7" i="9"/>
  <c r="AA11" i="9"/>
  <c r="AA10" i="9"/>
  <c r="AA9" i="9"/>
  <c r="AA8" i="9"/>
  <c r="AA7" i="9"/>
  <c r="AA6" i="9"/>
  <c r="AA5" i="9"/>
  <c r="Y13" i="9"/>
  <c r="Y19" i="8"/>
  <c r="Y18" i="8"/>
  <c r="Y17" i="8"/>
  <c r="Y16" i="8"/>
  <c r="Y15" i="8"/>
  <c r="AA15" i="8" s="1"/>
  <c r="Y14" i="8"/>
  <c r="Y13" i="8"/>
  <c r="Y12" i="8"/>
  <c r="AA12" i="8" s="1"/>
  <c r="Y11" i="8"/>
  <c r="AA11" i="8" s="1"/>
  <c r="Y10" i="8"/>
  <c r="AA10" i="8" s="1"/>
  <c r="Y9" i="8"/>
  <c r="AA9" i="8" s="1"/>
  <c r="Y8" i="8"/>
  <c r="AA8" i="8" s="1"/>
  <c r="Y7" i="8"/>
  <c r="Y6" i="8"/>
  <c r="AA6" i="8" s="1"/>
  <c r="Y5" i="8"/>
  <c r="AA5" i="8" s="1"/>
  <c r="AE19" i="8"/>
  <c r="AE18" i="8"/>
  <c r="AE17" i="8"/>
  <c r="AE7" i="8"/>
  <c r="AA19" i="8"/>
  <c r="AA18" i="8"/>
  <c r="AA17" i="8"/>
  <c r="AA16" i="8"/>
  <c r="AA14" i="8"/>
  <c r="AA13" i="8"/>
  <c r="AA7" i="8"/>
  <c r="AE12" i="7"/>
  <c r="AE11" i="7"/>
  <c r="AE8" i="7"/>
  <c r="AA28" i="7"/>
  <c r="AA24" i="7"/>
  <c r="AA20" i="7"/>
  <c r="AA19" i="7"/>
  <c r="AA18" i="7"/>
  <c r="AA17" i="7"/>
  <c r="AA13" i="7"/>
  <c r="AA12" i="7"/>
  <c r="AA11" i="7"/>
  <c r="AA10" i="7"/>
  <c r="AA9" i="7"/>
  <c r="AA8" i="7"/>
  <c r="AA7" i="7"/>
  <c r="AA6" i="6"/>
  <c r="Y29" i="7"/>
  <c r="Y25" i="7"/>
  <c r="Y21" i="7"/>
  <c r="Y14" i="7"/>
  <c r="AE19" i="6"/>
  <c r="AE11" i="6"/>
  <c r="AE10" i="6"/>
  <c r="AA42" i="6"/>
  <c r="AA41" i="6"/>
  <c r="AA40" i="6"/>
  <c r="AA39" i="6"/>
  <c r="AA38" i="6"/>
  <c r="AA37" i="6"/>
  <c r="AA36" i="6"/>
  <c r="AA32" i="6"/>
  <c r="AA31" i="6"/>
  <c r="AA30" i="6"/>
  <c r="AA29" i="6"/>
  <c r="AA28" i="6"/>
  <c r="AA27" i="6"/>
  <c r="AA26" i="6"/>
  <c r="AA25" i="6"/>
  <c r="AA21" i="6"/>
  <c r="AA20" i="6"/>
  <c r="AA19" i="6"/>
  <c r="AA18" i="6"/>
  <c r="AA17" i="6"/>
  <c r="AA16" i="6"/>
  <c r="AA12" i="6"/>
  <c r="AA11" i="6"/>
  <c r="AA10" i="6"/>
  <c r="AA9" i="6"/>
  <c r="AA8" i="6"/>
  <c r="AA7" i="6"/>
  <c r="AA6" i="5"/>
  <c r="Y43" i="6"/>
  <c r="Y33" i="6"/>
  <c r="Y22" i="6"/>
  <c r="Y13" i="6"/>
  <c r="AE25" i="5"/>
  <c r="AE11" i="5"/>
  <c r="AE10" i="5"/>
  <c r="AA35" i="5"/>
  <c r="AA34" i="5"/>
  <c r="AA33" i="5"/>
  <c r="AA32" i="5"/>
  <c r="AA31" i="5"/>
  <c r="AA27" i="5"/>
  <c r="AA26" i="5"/>
  <c r="AA25" i="5"/>
  <c r="AA24" i="5"/>
  <c r="AA20" i="5"/>
  <c r="AA19" i="5"/>
  <c r="AA18" i="5"/>
  <c r="AA17" i="5"/>
  <c r="AA16" i="5"/>
  <c r="AA12" i="5"/>
  <c r="AA11" i="5"/>
  <c r="AA10" i="5"/>
  <c r="AA9" i="5"/>
  <c r="AA8" i="5"/>
  <c r="AA7" i="5"/>
  <c r="AA6" i="4"/>
  <c r="Y36" i="5"/>
  <c r="Y28" i="5"/>
  <c r="Y21" i="5"/>
  <c r="Y13" i="5"/>
  <c r="AE34" i="4"/>
  <c r="AE11" i="4"/>
  <c r="AE10" i="4"/>
  <c r="AA40" i="4"/>
  <c r="AA39" i="4"/>
  <c r="AA38" i="4"/>
  <c r="AA37" i="4"/>
  <c r="AA36" i="4"/>
  <c r="AA35" i="4"/>
  <c r="AA34" i="4"/>
  <c r="AA33" i="4"/>
  <c r="AA29" i="4"/>
  <c r="AA28" i="4"/>
  <c r="AA27" i="4"/>
  <c r="AA26" i="4"/>
  <c r="AA25" i="4"/>
  <c r="AA21" i="4"/>
  <c r="AA20" i="4"/>
  <c r="AA19" i="4"/>
  <c r="AA18" i="4"/>
  <c r="AA17" i="4"/>
  <c r="AA16" i="4"/>
  <c r="AA12" i="4"/>
  <c r="AA11" i="4"/>
  <c r="AA10" i="4"/>
  <c r="AA9" i="4"/>
  <c r="AA8" i="4"/>
  <c r="AA7" i="4"/>
  <c r="AA6" i="3"/>
  <c r="Y41" i="4"/>
  <c r="Y30" i="4"/>
  <c r="Y22" i="4"/>
  <c r="Y13" i="4"/>
  <c r="AE11" i="3"/>
  <c r="AE10" i="3"/>
  <c r="AA38" i="3"/>
  <c r="AA37" i="3"/>
  <c r="AA36" i="3"/>
  <c r="AA35" i="3"/>
  <c r="AA31" i="3"/>
  <c r="AA30" i="3"/>
  <c r="AA29" i="3"/>
  <c r="AA28" i="3"/>
  <c r="AA27" i="3"/>
  <c r="AA26" i="3"/>
  <c r="AA22" i="3"/>
  <c r="AA21" i="3"/>
  <c r="AA20" i="3"/>
  <c r="AA19" i="3"/>
  <c r="AA18" i="3"/>
  <c r="AA17" i="3"/>
  <c r="AA16" i="3"/>
  <c r="AA12" i="3"/>
  <c r="AA11" i="3"/>
  <c r="AA10" i="3"/>
  <c r="AA9" i="3"/>
  <c r="AA8" i="3"/>
  <c r="AA7" i="3"/>
  <c r="AA6" i="2"/>
  <c r="Y39" i="3"/>
  <c r="Y32" i="3"/>
  <c r="Y23" i="3"/>
  <c r="Y13" i="3"/>
  <c r="AE55" i="2"/>
  <c r="AE54" i="2"/>
  <c r="AE53" i="2"/>
  <c r="AE52" i="2"/>
  <c r="AE49" i="2"/>
  <c r="AE45" i="2"/>
  <c r="AE34" i="2"/>
  <c r="AE30" i="2"/>
  <c r="AE29" i="2"/>
  <c r="AE18" i="2"/>
  <c r="AE11" i="2"/>
  <c r="AE10" i="2"/>
  <c r="AE6" i="1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39" i="2"/>
  <c r="AA38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2" i="2"/>
  <c r="AA11" i="2"/>
  <c r="AA10" i="2"/>
  <c r="AA9" i="2"/>
  <c r="AA8" i="2"/>
  <c r="AA7" i="2"/>
  <c r="AA6" i="1"/>
  <c r="Y56" i="2"/>
  <c r="Y40" i="2"/>
  <c r="Y35" i="2"/>
  <c r="Y13" i="2"/>
  <c r="AE48" i="1"/>
  <c r="AE31" i="1"/>
  <c r="AE30" i="1"/>
  <c r="AE18" i="1"/>
  <c r="AE14" i="1"/>
  <c r="AE13" i="1"/>
  <c r="AE12" i="1"/>
  <c r="AE11" i="1"/>
  <c r="AA57" i="1"/>
  <c r="AA53" i="1"/>
  <c r="AA52" i="1"/>
  <c r="AA48" i="1"/>
  <c r="AA47" i="1"/>
  <c r="AA46" i="1"/>
  <c r="AA45" i="1"/>
  <c r="AA41" i="1"/>
  <c r="AA40" i="1"/>
  <c r="AA39" i="1"/>
  <c r="AA38" i="1"/>
  <c r="AA37" i="1"/>
  <c r="AA36" i="1"/>
  <c r="AA35" i="1"/>
  <c r="AA31" i="1"/>
  <c r="AA30" i="1"/>
  <c r="AA29" i="1"/>
  <c r="AA28" i="1"/>
  <c r="AA27" i="1"/>
  <c r="AA26" i="1"/>
  <c r="AA25" i="1"/>
  <c r="AA24" i="1"/>
  <c r="AA23" i="1"/>
  <c r="AA22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20"/>
  <c r="Y58" i="1"/>
  <c r="Y10" i="33" s="1"/>
  <c r="Y54" i="1"/>
  <c r="Y9" i="33" s="1"/>
  <c r="Y49" i="1"/>
  <c r="Y8" i="33" s="1"/>
  <c r="Y42" i="1"/>
  <c r="Y7" i="33" s="1"/>
  <c r="Y32" i="1"/>
  <c r="Y6" i="33" s="1"/>
  <c r="Y19" i="1"/>
  <c r="AE10" i="20"/>
  <c r="AE6" i="20"/>
  <c r="AA10" i="20"/>
  <c r="AA6" i="19"/>
  <c r="Y11" i="20"/>
  <c r="Y7" i="20"/>
  <c r="AA7" i="19"/>
  <c r="AA6" i="18"/>
  <c r="Y8" i="19"/>
  <c r="Y10" i="19" s="1"/>
  <c r="Y28" i="32" s="1"/>
  <c r="AE46" i="18"/>
  <c r="AE45" i="18"/>
  <c r="AE44" i="18"/>
  <c r="AE30" i="18"/>
  <c r="AE18" i="18"/>
  <c r="AE11" i="18"/>
  <c r="AE10" i="18"/>
  <c r="AA46" i="18"/>
  <c r="AA45" i="18"/>
  <c r="AA44" i="18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4" i="18"/>
  <c r="AA23" i="18"/>
  <c r="AA19" i="18"/>
  <c r="AA18" i="18"/>
  <c r="AA17" i="18"/>
  <c r="AA16" i="18"/>
  <c r="AA12" i="18"/>
  <c r="AA11" i="18"/>
  <c r="AA10" i="18"/>
  <c r="AA9" i="18"/>
  <c r="AA8" i="18"/>
  <c r="AA7" i="18"/>
  <c r="AA6" i="17"/>
  <c r="Y47" i="18"/>
  <c r="Y41" i="18"/>
  <c r="E41" i="18"/>
  <c r="Y25" i="18"/>
  <c r="Y20" i="18"/>
  <c r="Y13" i="18"/>
  <c r="AE43" i="17"/>
  <c r="AE11" i="17"/>
  <c r="AE10" i="17"/>
  <c r="AA43" i="17"/>
  <c r="AA42" i="17"/>
  <c r="AA38" i="17"/>
  <c r="AA37" i="17"/>
  <c r="AA36" i="17"/>
  <c r="AA35" i="17"/>
  <c r="AA34" i="17"/>
  <c r="AA33" i="17"/>
  <c r="AA32" i="17"/>
  <c r="AA28" i="17"/>
  <c r="AA24" i="17"/>
  <c r="AA23" i="17"/>
  <c r="AA22" i="17"/>
  <c r="AA21" i="17"/>
  <c r="AA20" i="17"/>
  <c r="AA19" i="17"/>
  <c r="AA18" i="17"/>
  <c r="AA17" i="17"/>
  <c r="AA16" i="17"/>
  <c r="AA12" i="17"/>
  <c r="AA11" i="17"/>
  <c r="AA10" i="17"/>
  <c r="AA9" i="17"/>
  <c r="AA8" i="17"/>
  <c r="AA7" i="17"/>
  <c r="AA6" i="16"/>
  <c r="Y44" i="17"/>
  <c r="Y39" i="17"/>
  <c r="Y29" i="17"/>
  <c r="Y25" i="17"/>
  <c r="Y13" i="17"/>
  <c r="AE12" i="16"/>
  <c r="AE11" i="16"/>
  <c r="AA31" i="16"/>
  <c r="AA30" i="16"/>
  <c r="AA29" i="16"/>
  <c r="AA25" i="16"/>
  <c r="AA21" i="16"/>
  <c r="AA20" i="16"/>
  <c r="AA19" i="16"/>
  <c r="AA18" i="16"/>
  <c r="AA17" i="16"/>
  <c r="AA13" i="16"/>
  <c r="AA12" i="16"/>
  <c r="AA11" i="16"/>
  <c r="AA10" i="16"/>
  <c r="AA9" i="16"/>
  <c r="AA8" i="16"/>
  <c r="AA7" i="16"/>
  <c r="AA6" i="14"/>
  <c r="Y32" i="16"/>
  <c r="Y26" i="16"/>
  <c r="Y22" i="16"/>
  <c r="Y14" i="16"/>
  <c r="AE46" i="14"/>
  <c r="AE44" i="14"/>
  <c r="AE39" i="14"/>
  <c r="AE11" i="14"/>
  <c r="AE10" i="14"/>
  <c r="AA46" i="14"/>
  <c r="AA45" i="14"/>
  <c r="AA44" i="14"/>
  <c r="AA39" i="14"/>
  <c r="AA38" i="14"/>
  <c r="AA37" i="14"/>
  <c r="AA36" i="14"/>
  <c r="AA35" i="14"/>
  <c r="AA34" i="14"/>
  <c r="AA30" i="14"/>
  <c r="AA29" i="14"/>
  <c r="AA28" i="14"/>
  <c r="AA24" i="14"/>
  <c r="AA23" i="14"/>
  <c r="AA22" i="14"/>
  <c r="AA21" i="14"/>
  <c r="AA20" i="14"/>
  <c r="AA19" i="14"/>
  <c r="AA18" i="14"/>
  <c r="AA17" i="14"/>
  <c r="AA16" i="14"/>
  <c r="AA12" i="14"/>
  <c r="AA11" i="14"/>
  <c r="AA10" i="14"/>
  <c r="AA9" i="14"/>
  <c r="AA8" i="14"/>
  <c r="AA7" i="14"/>
  <c r="AA6" i="13"/>
  <c r="Y47" i="14"/>
  <c r="Y41" i="14"/>
  <c r="E41" i="14"/>
  <c r="Y31" i="14"/>
  <c r="Y25" i="14"/>
  <c r="Y13" i="14"/>
  <c r="AE41" i="13"/>
  <c r="AE14" i="13"/>
  <c r="AE12" i="13"/>
  <c r="AE11" i="13"/>
  <c r="AA48" i="13"/>
  <c r="AA47" i="13"/>
  <c r="AA46" i="13"/>
  <c r="AA42" i="13"/>
  <c r="AA41" i="13"/>
  <c r="AA40" i="13"/>
  <c r="AA39" i="13"/>
  <c r="AA38" i="13"/>
  <c r="AA37" i="13"/>
  <c r="AA36" i="13"/>
  <c r="AA32" i="13"/>
  <c r="AA31" i="13"/>
  <c r="AA27" i="13"/>
  <c r="AA26" i="13"/>
  <c r="AA25" i="13"/>
  <c r="AA24" i="13"/>
  <c r="AA23" i="13"/>
  <c r="AA22" i="13"/>
  <c r="AA21" i="13"/>
  <c r="AA20" i="13"/>
  <c r="AA19" i="13"/>
  <c r="AA18" i="13"/>
  <c r="AA14" i="13"/>
  <c r="AA13" i="13"/>
  <c r="AA12" i="13"/>
  <c r="AA11" i="13"/>
  <c r="AA10" i="13"/>
  <c r="AA9" i="13"/>
  <c r="AA8" i="13"/>
  <c r="AA7" i="13"/>
  <c r="AA6" i="12"/>
  <c r="Y49" i="13"/>
  <c r="Y43" i="13"/>
  <c r="Y33" i="13"/>
  <c r="Y28" i="13"/>
  <c r="Y15" i="13"/>
  <c r="AE27" i="12"/>
  <c r="AE10" i="12"/>
  <c r="AE9" i="12"/>
  <c r="AA27" i="12"/>
  <c r="AA23" i="12"/>
  <c r="AA19" i="12"/>
  <c r="AA18" i="12"/>
  <c r="AA17" i="12"/>
  <c r="AA16" i="12"/>
  <c r="AA15" i="12"/>
  <c r="AA11" i="12"/>
  <c r="AA10" i="12"/>
  <c r="AA9" i="12"/>
  <c r="AA8" i="12"/>
  <c r="AA7" i="12"/>
  <c r="AA6" i="11"/>
  <c r="AA82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6" i="11"/>
  <c r="AA45" i="11"/>
  <c r="AA41" i="11"/>
  <c r="AA40" i="11"/>
  <c r="AA39" i="11"/>
  <c r="AA38" i="11"/>
  <c r="AA37" i="11"/>
  <c r="AA36" i="11"/>
  <c r="AA35" i="11"/>
  <c r="AA34" i="11"/>
  <c r="AA33" i="11"/>
  <c r="AA32" i="11"/>
  <c r="AA31" i="11"/>
  <c r="AA30" i="11"/>
  <c r="AA29" i="11"/>
  <c r="AA28" i="11"/>
  <c r="AA26" i="11"/>
  <c r="AA25" i="11"/>
  <c r="AA24" i="11"/>
  <c r="AA23" i="11"/>
  <c r="AA22" i="11"/>
  <c r="AA21" i="11"/>
  <c r="AA20" i="11"/>
  <c r="AA19" i="11"/>
  <c r="AA18" i="11"/>
  <c r="AA17" i="11"/>
  <c r="AA13" i="11"/>
  <c r="AA12" i="11"/>
  <c r="AA11" i="11"/>
  <c r="AA10" i="11"/>
  <c r="AA9" i="11"/>
  <c r="AA8" i="11"/>
  <c r="AA7" i="11"/>
  <c r="AE75" i="11"/>
  <c r="AE74" i="11"/>
  <c r="AE72" i="11"/>
  <c r="AE71" i="11"/>
  <c r="AE70" i="11"/>
  <c r="AE69" i="11"/>
  <c r="AE68" i="11"/>
  <c r="AE64" i="11"/>
  <c r="AE63" i="11"/>
  <c r="AE60" i="11"/>
  <c r="AE59" i="11"/>
  <c r="AE58" i="11"/>
  <c r="AE52" i="11"/>
  <c r="AE29" i="11"/>
  <c r="AE13" i="11"/>
  <c r="AE11" i="11"/>
  <c r="AE10" i="11"/>
  <c r="AE80" i="10"/>
  <c r="AE74" i="10"/>
  <c r="AE73" i="10"/>
  <c r="AE61" i="10"/>
  <c r="AE55" i="10"/>
  <c r="AE48" i="10"/>
  <c r="AE46" i="10"/>
  <c r="AE31" i="10"/>
  <c r="AE30" i="10"/>
  <c r="AE28" i="10"/>
  <c r="AA89" i="10"/>
  <c r="AA84" i="10"/>
  <c r="AA80" i="10"/>
  <c r="AA77" i="10"/>
  <c r="AA75" i="10"/>
  <c r="AA74" i="10"/>
  <c r="AA73" i="10"/>
  <c r="AA68" i="10"/>
  <c r="AA64" i="10"/>
  <c r="AA63" i="10"/>
  <c r="AA62" i="10"/>
  <c r="AA61" i="10"/>
  <c r="AA55" i="10"/>
  <c r="AA54" i="10"/>
  <c r="AA53" i="10"/>
  <c r="AA48" i="10"/>
  <c r="AA46" i="10"/>
  <c r="AA42" i="10"/>
  <c r="AA31" i="10"/>
  <c r="AA30" i="10"/>
  <c r="AA28" i="10"/>
  <c r="AE23" i="10"/>
  <c r="AE22" i="10"/>
  <c r="AE21" i="10"/>
  <c r="AE18" i="10"/>
  <c r="AE15" i="10"/>
  <c r="AE14" i="10"/>
  <c r="AE11" i="10"/>
  <c r="AE10" i="10"/>
  <c r="AE7" i="10"/>
  <c r="AA24" i="10"/>
  <c r="AA23" i="10"/>
  <c r="AA22" i="10"/>
  <c r="AA21" i="10"/>
  <c r="AA18" i="10"/>
  <c r="AA16" i="10"/>
  <c r="AA15" i="10"/>
  <c r="AA14" i="10"/>
  <c r="AA11" i="10"/>
  <c r="AA10" i="10"/>
  <c r="AA7" i="10"/>
  <c r="Y28" i="12"/>
  <c r="Y24" i="12"/>
  <c r="Y20" i="12"/>
  <c r="Y12" i="12"/>
  <c r="Y83" i="11"/>
  <c r="Y79" i="11"/>
  <c r="Y47" i="11"/>
  <c r="Y42" i="11"/>
  <c r="Y14" i="11"/>
  <c r="Y24" i="10"/>
  <c r="Y23" i="10"/>
  <c r="Y22" i="10"/>
  <c r="Y21" i="10"/>
  <c r="Y20" i="10"/>
  <c r="AA20" i="10" s="1"/>
  <c r="Y19" i="10"/>
  <c r="AA19" i="10" s="1"/>
  <c r="Y18" i="10"/>
  <c r="Y17" i="10"/>
  <c r="AA17" i="10" s="1"/>
  <c r="Y16" i="10"/>
  <c r="Y15" i="10"/>
  <c r="Y14" i="10"/>
  <c r="Y13" i="10"/>
  <c r="AA13" i="10" s="1"/>
  <c r="Y12" i="10"/>
  <c r="AA12" i="10" s="1"/>
  <c r="Y11" i="10"/>
  <c r="Y10" i="10"/>
  <c r="Y9" i="10"/>
  <c r="AA9" i="10" s="1"/>
  <c r="Y8" i="10"/>
  <c r="AA8" i="10" s="1"/>
  <c r="Y7" i="10"/>
  <c r="Y6" i="10"/>
  <c r="AA6" i="10" s="1"/>
  <c r="AA40" i="10" l="1"/>
  <c r="Y49" i="10"/>
  <c r="Y13" i="20"/>
  <c r="Y30" i="32" s="1"/>
  <c r="Y28" i="21"/>
  <c r="Y5" i="33"/>
  <c r="Y13" i="33" s="1"/>
  <c r="Y65" i="1"/>
  <c r="Y8" i="22"/>
  <c r="Y14" i="22" s="1"/>
  <c r="Y12" i="23"/>
  <c r="Y18" i="23" s="1"/>
  <c r="Y22" i="22"/>
  <c r="Y29" i="22" s="1"/>
  <c r="Y31" i="7"/>
  <c r="Y23" i="33" s="1"/>
  <c r="Y45" i="6"/>
  <c r="Y22" i="33" s="1"/>
  <c r="Y38" i="5"/>
  <c r="Y21" i="33" s="1"/>
  <c r="Y43" i="4"/>
  <c r="Y20" i="33" s="1"/>
  <c r="Y41" i="3"/>
  <c r="Y19" i="33" s="1"/>
  <c r="Y58" i="2"/>
  <c r="Y18" i="33" s="1"/>
  <c r="Y49" i="18"/>
  <c r="Y27" i="32" s="1"/>
  <c r="Y46" i="17"/>
  <c r="Y26" i="32" s="1"/>
  <c r="Y34" i="16"/>
  <c r="Y25" i="32" s="1"/>
  <c r="Y49" i="14"/>
  <c r="Y24" i="32" s="1"/>
  <c r="Y51" i="13"/>
  <c r="Y23" i="32" s="1"/>
  <c r="Y30" i="12"/>
  <c r="Y22" i="32" s="1"/>
  <c r="Y85" i="11"/>
  <c r="Y21" i="32" s="1"/>
  <c r="Y35" i="21"/>
  <c r="Y18" i="21"/>
  <c r="Y21" i="8"/>
  <c r="Y24" i="33" l="1"/>
  <c r="Y32" i="32"/>
  <c r="Y29" i="33"/>
  <c r="Q43" i="25"/>
  <c r="Q42" i="25"/>
  <c r="AC42" i="25" l="1"/>
  <c r="AE42" i="25"/>
  <c r="AC43" i="25"/>
  <c r="AE43" i="25"/>
  <c r="Y33" i="33"/>
  <c r="Q36" i="17" l="1"/>
  <c r="AC36" i="17" l="1"/>
  <c r="AE36" i="17"/>
  <c r="Q25" i="5"/>
  <c r="AC25" i="5" s="1"/>
  <c r="Q29" i="6" l="1"/>
  <c r="Q30" i="6"/>
  <c r="Q26" i="6"/>
  <c r="AC30" i="6" l="1"/>
  <c r="AE30" i="6"/>
  <c r="AC29" i="6"/>
  <c r="AE29" i="6"/>
  <c r="AC26" i="6"/>
  <c r="AE26" i="6" s="1"/>
  <c r="Q28" i="4"/>
  <c r="Q26" i="4"/>
  <c r="Q28" i="3"/>
  <c r="Q27" i="3"/>
  <c r="Q29" i="3"/>
  <c r="AC28" i="4" l="1"/>
  <c r="AE28" i="4"/>
  <c r="AC26" i="4"/>
  <c r="AE26" i="4" s="1"/>
  <c r="AC29" i="3"/>
  <c r="AE29" i="3"/>
  <c r="AC28" i="3"/>
  <c r="AE28" i="3"/>
  <c r="AC27" i="3"/>
  <c r="AE27" i="3" s="1"/>
  <c r="Q21" i="2"/>
  <c r="AC21" i="2" l="1"/>
  <c r="AE21" i="2"/>
  <c r="Q20" i="2"/>
  <c r="AC20" i="2" l="1"/>
  <c r="AE20" i="2"/>
  <c r="Q57" i="11"/>
  <c r="AC57" i="11" l="1"/>
  <c r="AE57" i="11"/>
  <c r="Q6" i="31"/>
  <c r="AC6" i="31" s="1"/>
  <c r="AC7" i="31" s="1"/>
  <c r="AC13" i="31" s="1"/>
  <c r="U7" i="31" l="1"/>
  <c r="S7" i="31"/>
  <c r="O7" i="31"/>
  <c r="M7" i="31"/>
  <c r="Q20" i="30"/>
  <c r="AC20" i="30" s="1"/>
  <c r="Q19" i="30"/>
  <c r="Q6" i="30"/>
  <c r="U21" i="30"/>
  <c r="U23" i="30" s="1"/>
  <c r="S21" i="30"/>
  <c r="S23" i="30" s="1"/>
  <c r="M21" i="30"/>
  <c r="M23" i="30" s="1"/>
  <c r="U7" i="30"/>
  <c r="U13" i="30" s="1"/>
  <c r="S7" i="30"/>
  <c r="S13" i="30" s="1"/>
  <c r="M7" i="30"/>
  <c r="Q20" i="29"/>
  <c r="AC20" i="29" s="1"/>
  <c r="Q19" i="29"/>
  <c r="Q6" i="29"/>
  <c r="U21" i="29"/>
  <c r="U23" i="29" s="1"/>
  <c r="S21" i="29"/>
  <c r="S23" i="29" s="1"/>
  <c r="M21" i="29"/>
  <c r="M23" i="29" s="1"/>
  <c r="U7" i="29"/>
  <c r="U13" i="29" s="1"/>
  <c r="S7" i="29"/>
  <c r="S13" i="29" s="1"/>
  <c r="M7" i="29"/>
  <c r="Q20" i="28"/>
  <c r="AC20" i="28" s="1"/>
  <c r="Q19" i="28"/>
  <c r="Q6" i="28"/>
  <c r="Q20" i="27"/>
  <c r="AC20" i="27" s="1"/>
  <c r="Q19" i="27"/>
  <c r="AC19" i="27" s="1"/>
  <c r="Q18" i="27"/>
  <c r="AC18" i="27" s="1"/>
  <c r="Q17" i="27"/>
  <c r="AC17" i="27" s="1"/>
  <c r="Q6" i="27"/>
  <c r="AC6" i="27" s="1"/>
  <c r="U21" i="27"/>
  <c r="U23" i="27" s="1"/>
  <c r="S21" i="27"/>
  <c r="S23" i="27" s="1"/>
  <c r="M21" i="27"/>
  <c r="M23" i="27" s="1"/>
  <c r="U8" i="27"/>
  <c r="U10" i="27" s="1"/>
  <c r="S8" i="27"/>
  <c r="S10" i="27" s="1"/>
  <c r="M8" i="27"/>
  <c r="M10" i="27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6" i="26"/>
  <c r="AC6" i="26" s="1"/>
  <c r="U27" i="27" l="1"/>
  <c r="AC13" i="26"/>
  <c r="AC15" i="26" s="1"/>
  <c r="M13" i="30"/>
  <c r="M27" i="30" s="1"/>
  <c r="M13" i="29"/>
  <c r="M27" i="29" s="1"/>
  <c r="M13" i="31"/>
  <c r="M24" i="31" s="1"/>
  <c r="O13" i="31"/>
  <c r="O24" i="31" s="1"/>
  <c r="S13" i="31"/>
  <c r="S24" i="31" s="1"/>
  <c r="U13" i="31"/>
  <c r="U24" i="31" s="1"/>
  <c r="AC19" i="30"/>
  <c r="AC21" i="30" s="1"/>
  <c r="AC23" i="30" s="1"/>
  <c r="AE19" i="30"/>
  <c r="AC6" i="30"/>
  <c r="AC7" i="30" s="1"/>
  <c r="AC19" i="29"/>
  <c r="AC21" i="29" s="1"/>
  <c r="AC23" i="29" s="1"/>
  <c r="AC6" i="29"/>
  <c r="AC7" i="29" s="1"/>
  <c r="AC19" i="28"/>
  <c r="AC21" i="28" s="1"/>
  <c r="AC23" i="28" s="1"/>
  <c r="AC6" i="28"/>
  <c r="AC7" i="28" s="1"/>
  <c r="O7" i="30"/>
  <c r="U27" i="30"/>
  <c r="S27" i="27"/>
  <c r="O8" i="27"/>
  <c r="O10" i="27" s="1"/>
  <c r="U27" i="29"/>
  <c r="S27" i="30"/>
  <c r="O21" i="30"/>
  <c r="O23" i="30" s="1"/>
  <c r="S27" i="29"/>
  <c r="O21" i="29"/>
  <c r="O23" i="29" s="1"/>
  <c r="O7" i="29"/>
  <c r="O21" i="27"/>
  <c r="O23" i="27" s="1"/>
  <c r="O27" i="27" s="1"/>
  <c r="Q16" i="27"/>
  <c r="AC16" i="27" s="1"/>
  <c r="AC21" i="27" s="1"/>
  <c r="AC23" i="27" s="1"/>
  <c r="Q7" i="27"/>
  <c r="AC7" i="27" s="1"/>
  <c r="AC8" i="27" s="1"/>
  <c r="AC10" i="27" s="1"/>
  <c r="M27" i="27"/>
  <c r="Q8" i="7"/>
  <c r="AC8" i="7" s="1"/>
  <c r="Q8" i="16"/>
  <c r="AC13" i="30" l="1"/>
  <c r="O13" i="30"/>
  <c r="O27" i="30" s="1"/>
  <c r="AC13" i="29"/>
  <c r="O13" i="29"/>
  <c r="O27" i="29" s="1"/>
  <c r="AC13" i="28"/>
  <c r="AE6" i="30"/>
  <c r="AE6" i="29"/>
  <c r="AE6" i="28"/>
  <c r="AE19" i="28"/>
  <c r="AE19" i="29"/>
  <c r="AC8" i="16"/>
  <c r="AE8" i="16"/>
  <c r="U44" i="17" l="1"/>
  <c r="S44" i="17"/>
  <c r="O44" i="17"/>
  <c r="M44" i="17"/>
  <c r="W44" i="17"/>
  <c r="K44" i="17"/>
  <c r="I44" i="17"/>
  <c r="G44" i="17"/>
  <c r="E44" i="17"/>
  <c r="C44" i="17"/>
  <c r="U39" i="17"/>
  <c r="S39" i="17"/>
  <c r="M39" i="17"/>
  <c r="W39" i="17"/>
  <c r="K39" i="17"/>
  <c r="I39" i="17"/>
  <c r="G39" i="17"/>
  <c r="E39" i="17"/>
  <c r="C39" i="17"/>
  <c r="AA44" i="17" l="1"/>
  <c r="AA39" i="17"/>
  <c r="Q27" i="4"/>
  <c r="U21" i="28"/>
  <c r="U23" i="28" s="1"/>
  <c r="S21" i="28"/>
  <c r="S23" i="28" s="1"/>
  <c r="O21" i="28"/>
  <c r="O23" i="28" s="1"/>
  <c r="M21" i="28"/>
  <c r="M23" i="28" s="1"/>
  <c r="U7" i="28"/>
  <c r="U13" i="28" s="1"/>
  <c r="S7" i="28"/>
  <c r="S13" i="28" s="1"/>
  <c r="O7" i="28"/>
  <c r="M7" i="28"/>
  <c r="Q21" i="22"/>
  <c r="AC21" i="22" s="1"/>
  <c r="O22" i="22"/>
  <c r="Q20" i="22"/>
  <c r="Q7" i="22"/>
  <c r="U22" i="22"/>
  <c r="U29" i="22" s="1"/>
  <c r="S22" i="22"/>
  <c r="S29" i="22" s="1"/>
  <c r="M22" i="22"/>
  <c r="M29" i="22" s="1"/>
  <c r="U12" i="22"/>
  <c r="S12" i="22"/>
  <c r="M12" i="22"/>
  <c r="Q11" i="22"/>
  <c r="Q6" i="22"/>
  <c r="AC6" i="22" s="1"/>
  <c r="O13" i="28" l="1"/>
  <c r="M13" i="28"/>
  <c r="O29" i="22"/>
  <c r="AC11" i="22"/>
  <c r="AC12" i="22" s="1"/>
  <c r="AC27" i="4"/>
  <c r="AE27" i="4"/>
  <c r="AC20" i="22"/>
  <c r="AC22" i="22" s="1"/>
  <c r="AC7" i="22"/>
  <c r="AC8" i="22" s="1"/>
  <c r="O27" i="28"/>
  <c r="M27" i="28"/>
  <c r="U27" i="28"/>
  <c r="S27" i="28"/>
  <c r="O12" i="22"/>
  <c r="U13" i="26"/>
  <c r="U15" i="26" s="1"/>
  <c r="U19" i="26" s="1"/>
  <c r="S13" i="26"/>
  <c r="S15" i="26" s="1"/>
  <c r="S19" i="26" s="1"/>
  <c r="O13" i="26"/>
  <c r="O15" i="26" s="1"/>
  <c r="O19" i="26" s="1"/>
  <c r="M13" i="26"/>
  <c r="M15" i="26" s="1"/>
  <c r="M19" i="26" s="1"/>
  <c r="Q45" i="25"/>
  <c r="AC45" i="25" s="1"/>
  <c r="Q44" i="25"/>
  <c r="AC44" i="25" s="1"/>
  <c r="Q41" i="25"/>
  <c r="Q40" i="25"/>
  <c r="Q39" i="25"/>
  <c r="Q38" i="25"/>
  <c r="Q37" i="25"/>
  <c r="Q36" i="25"/>
  <c r="Q35" i="25"/>
  <c r="Q34" i="25"/>
  <c r="Q33" i="25"/>
  <c r="Q32" i="25"/>
  <c r="Q31" i="25"/>
  <c r="Q30" i="25"/>
  <c r="AC30" i="25" s="1"/>
  <c r="Q29" i="25"/>
  <c r="AC29" i="25" s="1"/>
  <c r="U46" i="25"/>
  <c r="U48" i="25" s="1"/>
  <c r="S46" i="25"/>
  <c r="S48" i="25" s="1"/>
  <c r="M46" i="25"/>
  <c r="M48" i="25" s="1"/>
  <c r="Q20" i="25"/>
  <c r="AC20" i="25" s="1"/>
  <c r="AC21" i="25" s="1"/>
  <c r="Q16" i="25"/>
  <c r="AC16" i="25" s="1"/>
  <c r="Q11" i="25"/>
  <c r="Q15" i="25"/>
  <c r="AC15" i="25" s="1"/>
  <c r="Q7" i="25"/>
  <c r="Q6" i="25"/>
  <c r="AC6" i="25" s="1"/>
  <c r="AE6" i="25" s="1"/>
  <c r="U21" i="25"/>
  <c r="S21" i="25"/>
  <c r="M21" i="25"/>
  <c r="U17" i="25"/>
  <c r="S17" i="25"/>
  <c r="M17" i="25"/>
  <c r="U12" i="25"/>
  <c r="S12" i="25"/>
  <c r="M12" i="25"/>
  <c r="E12" i="25"/>
  <c r="U8" i="25"/>
  <c r="S8" i="25"/>
  <c r="O8" i="25"/>
  <c r="M8" i="25"/>
  <c r="Q45" i="24"/>
  <c r="Q39" i="24"/>
  <c r="AC39" i="24" s="1"/>
  <c r="Q38" i="24"/>
  <c r="AC38" i="24" s="1"/>
  <c r="Q37" i="24"/>
  <c r="Q36" i="24"/>
  <c r="AC36" i="24" s="1"/>
  <c r="Q32" i="24"/>
  <c r="AC32" i="24" s="1"/>
  <c r="Q30" i="24"/>
  <c r="AC30" i="24" s="1"/>
  <c r="U33" i="24"/>
  <c r="U53" i="24" s="1"/>
  <c r="S33" i="24"/>
  <c r="S53" i="24" s="1"/>
  <c r="O33" i="24"/>
  <c r="O53" i="24" s="1"/>
  <c r="M33" i="24"/>
  <c r="M53" i="24" s="1"/>
  <c r="W33" i="24"/>
  <c r="W53" i="24" s="1"/>
  <c r="Q6" i="24"/>
  <c r="AC6" i="24" s="1"/>
  <c r="Q7" i="24"/>
  <c r="AC7" i="24" s="1"/>
  <c r="Q17" i="24"/>
  <c r="AC17" i="24" s="1"/>
  <c r="Q16" i="24"/>
  <c r="AC16" i="24" s="1"/>
  <c r="AE16" i="24" s="1"/>
  <c r="Q11" i="24"/>
  <c r="AC11" i="24" s="1"/>
  <c r="Q12" i="24"/>
  <c r="AC12" i="24" s="1"/>
  <c r="U18" i="24"/>
  <c r="S18" i="24"/>
  <c r="O18" i="24"/>
  <c r="M18" i="24"/>
  <c r="U13" i="24"/>
  <c r="S13" i="24"/>
  <c r="M13" i="24"/>
  <c r="M24" i="24" s="1"/>
  <c r="U8" i="24"/>
  <c r="S8" i="24"/>
  <c r="M8" i="24"/>
  <c r="Q24" i="23"/>
  <c r="Q6" i="23"/>
  <c r="O25" i="23"/>
  <c r="O27" i="23" s="1"/>
  <c r="Q11" i="23"/>
  <c r="AC11" i="23" s="1"/>
  <c r="O7" i="23"/>
  <c r="U25" i="23"/>
  <c r="U27" i="23" s="1"/>
  <c r="S25" i="23"/>
  <c r="S27" i="23" s="1"/>
  <c r="M25" i="23"/>
  <c r="M27" i="23" s="1"/>
  <c r="U12" i="23"/>
  <c r="S12" i="23"/>
  <c r="M12" i="23"/>
  <c r="W12" i="23"/>
  <c r="K12" i="23"/>
  <c r="I12" i="23"/>
  <c r="G12" i="23"/>
  <c r="E12" i="23"/>
  <c r="U7" i="23"/>
  <c r="S7" i="23"/>
  <c r="M7" i="23"/>
  <c r="W7" i="23"/>
  <c r="K7" i="23"/>
  <c r="I7" i="23"/>
  <c r="I18" i="23" s="1"/>
  <c r="G7" i="23"/>
  <c r="G18" i="23" s="1"/>
  <c r="E7" i="23"/>
  <c r="E18" i="23" s="1"/>
  <c r="U8" i="22"/>
  <c r="U14" i="22" s="1"/>
  <c r="S8" i="22"/>
  <c r="S14" i="22" s="1"/>
  <c r="O8" i="22"/>
  <c r="M8" i="22"/>
  <c r="M14" i="22" s="1"/>
  <c r="Q32" i="21"/>
  <c r="AC32" i="21" s="1"/>
  <c r="Q31" i="21"/>
  <c r="AC31" i="21" s="1"/>
  <c r="Q15" i="21"/>
  <c r="AC15" i="21" s="1"/>
  <c r="Q14" i="21"/>
  <c r="AC14" i="21" s="1"/>
  <c r="Q10" i="21"/>
  <c r="Q27" i="21"/>
  <c r="AC27" i="21" s="1"/>
  <c r="Q26" i="21"/>
  <c r="AC26" i="21" s="1"/>
  <c r="Q25" i="21"/>
  <c r="AC25" i="21" s="1"/>
  <c r="AE25" i="21" s="1"/>
  <c r="Q24" i="21"/>
  <c r="Q6" i="21"/>
  <c r="K25" i="17"/>
  <c r="AA12" i="23" l="1"/>
  <c r="AC24" i="21"/>
  <c r="AE24" i="21" s="1"/>
  <c r="AC14" i="22"/>
  <c r="AC29" i="22"/>
  <c r="U33" i="22"/>
  <c r="S33" i="22"/>
  <c r="W18" i="23"/>
  <c r="M18" i="23"/>
  <c r="S18" i="23"/>
  <c r="S31" i="23" s="1"/>
  <c r="U18" i="23"/>
  <c r="U31" i="23" s="1"/>
  <c r="K18" i="23"/>
  <c r="AA7" i="23"/>
  <c r="AE7" i="23"/>
  <c r="S24" i="24"/>
  <c r="U24" i="24"/>
  <c r="AC33" i="25"/>
  <c r="AE33" i="25" s="1"/>
  <c r="AC35" i="25"/>
  <c r="AE35" i="25" s="1"/>
  <c r="AC36" i="25"/>
  <c r="AE36" i="25" s="1"/>
  <c r="AC37" i="25"/>
  <c r="AE37" i="25"/>
  <c r="AC38" i="25"/>
  <c r="AE38" i="25"/>
  <c r="AC39" i="25"/>
  <c r="AE39" i="25"/>
  <c r="AC40" i="25"/>
  <c r="AE40" i="25" s="1"/>
  <c r="AC31" i="25"/>
  <c r="AE31" i="25" s="1"/>
  <c r="AC41" i="25"/>
  <c r="AE41" i="25" s="1"/>
  <c r="AC34" i="25"/>
  <c r="AE34" i="25" s="1"/>
  <c r="AC17" i="25"/>
  <c r="AC11" i="25"/>
  <c r="AC12" i="25" s="1"/>
  <c r="AC7" i="25"/>
  <c r="AE7" i="25" s="1"/>
  <c r="AC37" i="24"/>
  <c r="Q47" i="24"/>
  <c r="AC18" i="24"/>
  <c r="AE24" i="23"/>
  <c r="AC24" i="23"/>
  <c r="AC25" i="23" s="1"/>
  <c r="AC27" i="23" s="1"/>
  <c r="Q7" i="23"/>
  <c r="AC6" i="23"/>
  <c r="AC7" i="23" s="1"/>
  <c r="AE11" i="22"/>
  <c r="M33" i="22"/>
  <c r="AC33" i="21"/>
  <c r="AC16" i="21"/>
  <c r="AC10" i="21"/>
  <c r="AC11" i="21" s="1"/>
  <c r="AE27" i="21"/>
  <c r="AC28" i="21"/>
  <c r="AC6" i="21"/>
  <c r="AC7" i="21" s="1"/>
  <c r="AC13" i="24"/>
  <c r="AE12" i="24"/>
  <c r="AC33" i="24"/>
  <c r="AE45" i="24"/>
  <c r="AC45" i="24"/>
  <c r="AA33" i="24"/>
  <c r="AE33" i="24"/>
  <c r="AC8" i="24"/>
  <c r="AE20" i="22"/>
  <c r="AE7" i="22"/>
  <c r="AC32" i="25"/>
  <c r="O13" i="24"/>
  <c r="O14" i="22"/>
  <c r="O39" i="17"/>
  <c r="O46" i="25"/>
  <c r="O48" i="25" s="1"/>
  <c r="O21" i="25"/>
  <c r="O17" i="25"/>
  <c r="O12" i="25"/>
  <c r="M23" i="25"/>
  <c r="S23" i="25"/>
  <c r="U23" i="25"/>
  <c r="O8" i="24"/>
  <c r="O12" i="23"/>
  <c r="O18" i="23" s="1"/>
  <c r="Q10" i="23"/>
  <c r="AC35" i="21" l="1"/>
  <c r="AE10" i="21"/>
  <c r="AC18" i="21"/>
  <c r="AC24" i="24"/>
  <c r="AC47" i="24"/>
  <c r="AC53" i="24" s="1"/>
  <c r="AC46" i="25"/>
  <c r="AC48" i="25" s="1"/>
  <c r="U52" i="25"/>
  <c r="S52" i="25"/>
  <c r="AE11" i="25"/>
  <c r="AC8" i="25"/>
  <c r="AC23" i="25" s="1"/>
  <c r="M52" i="25"/>
  <c r="O24" i="24"/>
  <c r="M31" i="23"/>
  <c r="Q12" i="23"/>
  <c r="Q18" i="23" s="1"/>
  <c r="AC10" i="23"/>
  <c r="AC12" i="23" s="1"/>
  <c r="O31" i="23"/>
  <c r="AE6" i="21"/>
  <c r="S57" i="24"/>
  <c r="M57" i="24"/>
  <c r="U57" i="24"/>
  <c r="O33" i="22"/>
  <c r="AE32" i="25"/>
  <c r="O23" i="25"/>
  <c r="Q23" i="2"/>
  <c r="U33" i="21"/>
  <c r="S33" i="21"/>
  <c r="O33" i="21"/>
  <c r="M33" i="21"/>
  <c r="U28" i="21"/>
  <c r="S28" i="21"/>
  <c r="O28" i="21"/>
  <c r="M28" i="21"/>
  <c r="U16" i="21"/>
  <c r="S16" i="21"/>
  <c r="O16" i="21"/>
  <c r="M16" i="21"/>
  <c r="U11" i="21"/>
  <c r="S11" i="21"/>
  <c r="O11" i="21"/>
  <c r="M11" i="21"/>
  <c r="U7" i="21"/>
  <c r="S7" i="21"/>
  <c r="O7" i="21"/>
  <c r="M7" i="21"/>
  <c r="Q6" i="20"/>
  <c r="Q10" i="20"/>
  <c r="AC10" i="20" s="1"/>
  <c r="AC11" i="20" s="1"/>
  <c r="O7" i="20"/>
  <c r="U11" i="20"/>
  <c r="S11" i="20"/>
  <c r="M11" i="20"/>
  <c r="U7" i="20"/>
  <c r="S7" i="20"/>
  <c r="M7" i="20"/>
  <c r="M13" i="20" s="1"/>
  <c r="M30" i="32" s="1"/>
  <c r="Q7" i="19"/>
  <c r="O8" i="19"/>
  <c r="O10" i="19" s="1"/>
  <c r="O28" i="32" s="1"/>
  <c r="U8" i="19"/>
  <c r="U10" i="19" s="1"/>
  <c r="U28" i="32" s="1"/>
  <c r="S8" i="19"/>
  <c r="S10" i="19" s="1"/>
  <c r="S28" i="32" s="1"/>
  <c r="M8" i="19"/>
  <c r="M10" i="19" s="1"/>
  <c r="M28" i="32" s="1"/>
  <c r="Q85" i="10"/>
  <c r="Q84" i="10"/>
  <c r="Q46" i="18"/>
  <c r="AC46" i="18" s="1"/>
  <c r="Q45" i="18"/>
  <c r="AC45" i="18" s="1"/>
  <c r="Q44" i="18"/>
  <c r="AC44" i="18" s="1"/>
  <c r="Q39" i="18"/>
  <c r="Q38" i="18"/>
  <c r="Q35" i="18"/>
  <c r="Q34" i="18"/>
  <c r="Q33" i="18"/>
  <c r="Q29" i="18"/>
  <c r="Q28" i="18"/>
  <c r="Q23" i="18"/>
  <c r="Q17" i="18"/>
  <c r="Q16" i="18"/>
  <c r="Q12" i="18"/>
  <c r="Q11" i="18"/>
  <c r="AC11" i="18" s="1"/>
  <c r="Q10" i="18"/>
  <c r="AC10" i="18" s="1"/>
  <c r="Q7" i="18"/>
  <c r="O47" i="18"/>
  <c r="Q40" i="18"/>
  <c r="Q37" i="18"/>
  <c r="Q36" i="18"/>
  <c r="Q32" i="18"/>
  <c r="Q31" i="18"/>
  <c r="O25" i="18"/>
  <c r="Q19" i="18"/>
  <c r="Q9" i="18"/>
  <c r="Q8" i="18"/>
  <c r="Q6" i="18"/>
  <c r="U47" i="18"/>
  <c r="S47" i="18"/>
  <c r="M47" i="18"/>
  <c r="U41" i="18"/>
  <c r="S41" i="18"/>
  <c r="M41" i="18"/>
  <c r="U25" i="18"/>
  <c r="S25" i="18"/>
  <c r="M25" i="18"/>
  <c r="U20" i="18"/>
  <c r="S20" i="18"/>
  <c r="M20" i="18"/>
  <c r="U13" i="18"/>
  <c r="S13" i="18"/>
  <c r="M13" i="18"/>
  <c r="Q80" i="10"/>
  <c r="AC80" i="10" s="1"/>
  <c r="Q79" i="10"/>
  <c r="Q78" i="10"/>
  <c r="AC78" i="10" s="1"/>
  <c r="AE78" i="10" s="1"/>
  <c r="Q77" i="10"/>
  <c r="AC77" i="10" s="1"/>
  <c r="AE77" i="10" s="1"/>
  <c r="Q76" i="10"/>
  <c r="AC76" i="10" s="1"/>
  <c r="AE76" i="10" s="1"/>
  <c r="Q75" i="10"/>
  <c r="AC75" i="10" s="1"/>
  <c r="AE75" i="10" s="1"/>
  <c r="Q74" i="10"/>
  <c r="AC74" i="10" s="1"/>
  <c r="Q73" i="10"/>
  <c r="AC73" i="10" s="1"/>
  <c r="Q72" i="10"/>
  <c r="AC72" i="10" s="1"/>
  <c r="Q10" i="17"/>
  <c r="AC10" i="17" s="1"/>
  <c r="Q42" i="17"/>
  <c r="AC42" i="17" s="1"/>
  <c r="AE42" i="17" s="1"/>
  <c r="Q38" i="17"/>
  <c r="Q37" i="17"/>
  <c r="Q35" i="17"/>
  <c r="Q34" i="17"/>
  <c r="Q33" i="17"/>
  <c r="Q32" i="17"/>
  <c r="Q28" i="17"/>
  <c r="Q24" i="17"/>
  <c r="Q23" i="17"/>
  <c r="Q22" i="17"/>
  <c r="Q21" i="17"/>
  <c r="Q20" i="17"/>
  <c r="Q19" i="17"/>
  <c r="Q18" i="17"/>
  <c r="Q17" i="17"/>
  <c r="Q16" i="17"/>
  <c r="Q12" i="17"/>
  <c r="Q11" i="17"/>
  <c r="AC11" i="17" s="1"/>
  <c r="Q9" i="17"/>
  <c r="Q8" i="17"/>
  <c r="Q7" i="17"/>
  <c r="Q6" i="17"/>
  <c r="Q68" i="10"/>
  <c r="AC68" i="10" s="1"/>
  <c r="AE68" i="10" s="1"/>
  <c r="Q67" i="10"/>
  <c r="Q66" i="10"/>
  <c r="AC66" i="10" s="1"/>
  <c r="AE66" i="10" s="1"/>
  <c r="Q65" i="10"/>
  <c r="Q64" i="10"/>
  <c r="AC64" i="10" s="1"/>
  <c r="AE64" i="10" s="1"/>
  <c r="Q63" i="10"/>
  <c r="Q62" i="10"/>
  <c r="AC62" i="10" s="1"/>
  <c r="AE62" i="10" s="1"/>
  <c r="Q61" i="10"/>
  <c r="AC61" i="10" s="1"/>
  <c r="Q60" i="10"/>
  <c r="AC60" i="10" s="1"/>
  <c r="Q59" i="10"/>
  <c r="U29" i="17"/>
  <c r="S29" i="17"/>
  <c r="M29" i="17"/>
  <c r="U25" i="17"/>
  <c r="S25" i="17"/>
  <c r="M25" i="17"/>
  <c r="U13" i="17"/>
  <c r="S13" i="17"/>
  <c r="M13" i="17"/>
  <c r="Q31" i="16"/>
  <c r="Q30" i="16"/>
  <c r="O32" i="16"/>
  <c r="Q25" i="16"/>
  <c r="Q21" i="16"/>
  <c r="Q20" i="16"/>
  <c r="Q19" i="16"/>
  <c r="Q18" i="16"/>
  <c r="Q17" i="16"/>
  <c r="Q13" i="16"/>
  <c r="Q12" i="16"/>
  <c r="AC12" i="16" s="1"/>
  <c r="Q11" i="16"/>
  <c r="AC11" i="16" s="1"/>
  <c r="Q10" i="16"/>
  <c r="Q9" i="16"/>
  <c r="Q7" i="16"/>
  <c r="I26" i="16"/>
  <c r="U32" i="16"/>
  <c r="S32" i="16"/>
  <c r="M32" i="16"/>
  <c r="U26" i="16"/>
  <c r="S26" i="16"/>
  <c r="M26" i="16"/>
  <c r="U22" i="16"/>
  <c r="S22" i="16"/>
  <c r="M22" i="16"/>
  <c r="U14" i="16"/>
  <c r="S14" i="16"/>
  <c r="M14" i="16"/>
  <c r="W7" i="31"/>
  <c r="W13" i="31" s="1"/>
  <c r="W24" i="31" s="1"/>
  <c r="Q7" i="31"/>
  <c r="K7" i="31"/>
  <c r="I7" i="31"/>
  <c r="G7" i="31"/>
  <c r="E7" i="31"/>
  <c r="C7" i="31"/>
  <c r="U90" i="10"/>
  <c r="U13" i="32" s="1"/>
  <c r="S90" i="10"/>
  <c r="S13" i="32" s="1"/>
  <c r="Y90" i="10"/>
  <c r="Y13" i="32" s="1"/>
  <c r="M90" i="10"/>
  <c r="M13" i="32" s="1"/>
  <c r="W90" i="10"/>
  <c r="K90" i="10"/>
  <c r="K13" i="32" s="1"/>
  <c r="I90" i="10"/>
  <c r="I13" i="32" s="1"/>
  <c r="G90" i="10"/>
  <c r="G13" i="32" s="1"/>
  <c r="E90" i="10"/>
  <c r="E13" i="32" s="1"/>
  <c r="C90" i="10"/>
  <c r="C13" i="32" s="1"/>
  <c r="W21" i="30"/>
  <c r="Q21" i="30"/>
  <c r="K21" i="30"/>
  <c r="K23" i="30" s="1"/>
  <c r="I21" i="30"/>
  <c r="I23" i="30" s="1"/>
  <c r="G21" i="30"/>
  <c r="G23" i="30" s="1"/>
  <c r="E21" i="30"/>
  <c r="E23" i="30" s="1"/>
  <c r="C21" i="30"/>
  <c r="C23" i="30" s="1"/>
  <c r="W7" i="30"/>
  <c r="W13" i="30" s="1"/>
  <c r="Q7" i="30"/>
  <c r="Q13" i="30" s="1"/>
  <c r="K7" i="30"/>
  <c r="K13" i="30" s="1"/>
  <c r="I7" i="30"/>
  <c r="I13" i="30" s="1"/>
  <c r="G7" i="30"/>
  <c r="G13" i="30" s="1"/>
  <c r="E7" i="30"/>
  <c r="C7" i="30"/>
  <c r="C13" i="30" s="1"/>
  <c r="W21" i="29"/>
  <c r="Q21" i="29"/>
  <c r="K21" i="29"/>
  <c r="K23" i="29" s="1"/>
  <c r="I21" i="29"/>
  <c r="I23" i="29" s="1"/>
  <c r="G21" i="29"/>
  <c r="G23" i="29" s="1"/>
  <c r="E21" i="29"/>
  <c r="E23" i="29" s="1"/>
  <c r="C21" i="29"/>
  <c r="C23" i="29" s="1"/>
  <c r="W7" i="29"/>
  <c r="W13" i="29" s="1"/>
  <c r="Q7" i="29"/>
  <c r="Q13" i="29" s="1"/>
  <c r="K7" i="29"/>
  <c r="K13" i="29" s="1"/>
  <c r="I7" i="29"/>
  <c r="I13" i="29" s="1"/>
  <c r="G7" i="29"/>
  <c r="G13" i="29" s="1"/>
  <c r="E7" i="29"/>
  <c r="C7" i="29"/>
  <c r="C13" i="29" s="1"/>
  <c r="W7" i="28"/>
  <c r="W13" i="28" s="1"/>
  <c r="Q7" i="28"/>
  <c r="Q13" i="28" s="1"/>
  <c r="K7" i="28"/>
  <c r="K13" i="28" s="1"/>
  <c r="I7" i="28"/>
  <c r="I13" i="28" s="1"/>
  <c r="G7" i="28"/>
  <c r="G13" i="28" s="1"/>
  <c r="E7" i="28"/>
  <c r="C7" i="28"/>
  <c r="C13" i="28" s="1"/>
  <c r="W21" i="28"/>
  <c r="Q21" i="28"/>
  <c r="K21" i="28"/>
  <c r="K23" i="28" s="1"/>
  <c r="I21" i="28"/>
  <c r="I23" i="28" s="1"/>
  <c r="G21" i="28"/>
  <c r="G23" i="28" s="1"/>
  <c r="E21" i="28"/>
  <c r="E23" i="28" s="1"/>
  <c r="C21" i="28"/>
  <c r="C23" i="28" s="1"/>
  <c r="W21" i="27"/>
  <c r="Q21" i="27"/>
  <c r="Q23" i="27" s="1"/>
  <c r="K21" i="27"/>
  <c r="K23" i="27" s="1"/>
  <c r="I21" i="27"/>
  <c r="I23" i="27" s="1"/>
  <c r="G21" i="27"/>
  <c r="G23" i="27" s="1"/>
  <c r="E21" i="27"/>
  <c r="E23" i="27" s="1"/>
  <c r="C21" i="27"/>
  <c r="C23" i="27" s="1"/>
  <c r="W8" i="27"/>
  <c r="Q8" i="27"/>
  <c r="Q10" i="27" s="1"/>
  <c r="K8" i="27"/>
  <c r="K10" i="27" s="1"/>
  <c r="I8" i="27"/>
  <c r="I10" i="27" s="1"/>
  <c r="G8" i="27"/>
  <c r="G10" i="27" s="1"/>
  <c r="E8" i="27"/>
  <c r="E10" i="27" s="1"/>
  <c r="C8" i="27"/>
  <c r="C10" i="27" s="1"/>
  <c r="AC6" i="20" l="1"/>
  <c r="AC7" i="20" s="1"/>
  <c r="H25" i="37"/>
  <c r="E13" i="28"/>
  <c r="E13" i="30"/>
  <c r="W10" i="27"/>
  <c r="AA8" i="27"/>
  <c r="AE8" i="27"/>
  <c r="W23" i="27"/>
  <c r="AE21" i="27"/>
  <c r="AA21" i="27"/>
  <c r="E13" i="29"/>
  <c r="E27" i="29" s="1"/>
  <c r="AC18" i="16"/>
  <c r="AE18" i="16"/>
  <c r="S35" i="21"/>
  <c r="AC31" i="18"/>
  <c r="AE31" i="18" s="1"/>
  <c r="AC18" i="23"/>
  <c r="I13" i="31"/>
  <c r="I24" i="31" s="1"/>
  <c r="E13" i="31"/>
  <c r="E24" i="31" s="1"/>
  <c r="K13" i="31"/>
  <c r="K24" i="31" s="1"/>
  <c r="G13" i="31"/>
  <c r="G24" i="31" s="1"/>
  <c r="C13" i="31"/>
  <c r="Q13" i="31"/>
  <c r="Q24" i="31" s="1"/>
  <c r="AE7" i="31"/>
  <c r="AA7" i="31"/>
  <c r="AA7" i="30"/>
  <c r="C27" i="30"/>
  <c r="C33" i="30" s="1"/>
  <c r="E29" i="30" s="1"/>
  <c r="W23" i="30"/>
  <c r="AA21" i="30"/>
  <c r="AA7" i="29"/>
  <c r="C27" i="29"/>
  <c r="C33" i="29" s="1"/>
  <c r="E29" i="29" s="1"/>
  <c r="W23" i="29"/>
  <c r="AA21" i="29"/>
  <c r="AA7" i="28"/>
  <c r="W23" i="28"/>
  <c r="AA21" i="28"/>
  <c r="Q23" i="30"/>
  <c r="Q27" i="30" s="1"/>
  <c r="AE21" i="30"/>
  <c r="AE7" i="30"/>
  <c r="Q23" i="29"/>
  <c r="Q27" i="29" s="1"/>
  <c r="AE21" i="29"/>
  <c r="AE7" i="29"/>
  <c r="Q23" i="28"/>
  <c r="Q27" i="28" s="1"/>
  <c r="AE21" i="28"/>
  <c r="AE7" i="28"/>
  <c r="O52" i="25"/>
  <c r="AE10" i="23"/>
  <c r="AE12" i="23"/>
  <c r="AC13" i="20"/>
  <c r="AC30" i="32" s="1"/>
  <c r="AC7" i="19"/>
  <c r="AE7" i="19"/>
  <c r="AC85" i="10"/>
  <c r="AE85" i="10"/>
  <c r="AC84" i="10"/>
  <c r="AE84" i="10" s="1"/>
  <c r="AC38" i="18"/>
  <c r="AE38" i="18"/>
  <c r="AC47" i="18"/>
  <c r="AC28" i="18"/>
  <c r="AE28" i="18" s="1"/>
  <c r="AC29" i="18"/>
  <c r="AE29" i="18" s="1"/>
  <c r="AC16" i="18"/>
  <c r="AE16" i="18"/>
  <c r="AC7" i="18"/>
  <c r="AE7" i="18"/>
  <c r="AC37" i="18"/>
  <c r="AE37" i="18" s="1"/>
  <c r="AC36" i="18"/>
  <c r="AE36" i="18" s="1"/>
  <c r="AC33" i="18"/>
  <c r="AE33" i="18" s="1"/>
  <c r="AC9" i="18"/>
  <c r="AE9" i="18" s="1"/>
  <c r="AC8" i="18"/>
  <c r="AE8" i="18" s="1"/>
  <c r="AC6" i="18"/>
  <c r="AE6" i="18" s="1"/>
  <c r="AC79" i="10"/>
  <c r="AE79" i="10" s="1"/>
  <c r="H14" i="37"/>
  <c r="AC38" i="17"/>
  <c r="AE38" i="17" s="1"/>
  <c r="AC34" i="17"/>
  <c r="AE34" i="17" s="1"/>
  <c r="AC35" i="17"/>
  <c r="AE35" i="17" s="1"/>
  <c r="AC17" i="17"/>
  <c r="AE17" i="17" s="1"/>
  <c r="AC21" i="17"/>
  <c r="AE21" i="17" s="1"/>
  <c r="AC7" i="17"/>
  <c r="AE7" i="17" s="1"/>
  <c r="AC37" i="17"/>
  <c r="AE37" i="17" s="1"/>
  <c r="AC32" i="17"/>
  <c r="AE32" i="17" s="1"/>
  <c r="AC28" i="17"/>
  <c r="AC29" i="17" s="1"/>
  <c r="AE28" i="17"/>
  <c r="AC24" i="17"/>
  <c r="AE24" i="17" s="1"/>
  <c r="AC23" i="17"/>
  <c r="AE23" i="17" s="1"/>
  <c r="AC22" i="17"/>
  <c r="AE22" i="17" s="1"/>
  <c r="AC20" i="17"/>
  <c r="AE20" i="17" s="1"/>
  <c r="AC16" i="17"/>
  <c r="AE16" i="17" s="1"/>
  <c r="AC9" i="17"/>
  <c r="AE9" i="17" s="1"/>
  <c r="AC8" i="17"/>
  <c r="AE8" i="17" s="1"/>
  <c r="AC6" i="17"/>
  <c r="AE6" i="17" s="1"/>
  <c r="O57" i="24"/>
  <c r="AC65" i="10"/>
  <c r="AE65" i="10" s="1"/>
  <c r="AC59" i="10"/>
  <c r="AE59" i="10" s="1"/>
  <c r="AC67" i="10"/>
  <c r="AE67" i="10" s="1"/>
  <c r="AC35" i="18"/>
  <c r="AE35" i="18" s="1"/>
  <c r="AC34" i="18"/>
  <c r="AE34" i="18" s="1"/>
  <c r="AC32" i="18"/>
  <c r="AE32" i="18" s="1"/>
  <c r="AC39" i="18"/>
  <c r="AE39" i="18" s="1"/>
  <c r="AC40" i="18"/>
  <c r="AE40" i="18" s="1"/>
  <c r="AC19" i="18"/>
  <c r="AE19" i="18" s="1"/>
  <c r="AC23" i="18"/>
  <c r="AC17" i="18"/>
  <c r="AC12" i="18"/>
  <c r="AC12" i="17"/>
  <c r="AC23" i="2"/>
  <c r="AE23" i="2" s="1"/>
  <c r="AC33" i="17"/>
  <c r="AC19" i="17"/>
  <c r="AE19" i="17" s="1"/>
  <c r="AC18" i="17"/>
  <c r="AE18" i="17" s="1"/>
  <c r="AC63" i="10"/>
  <c r="AE63" i="10" s="1"/>
  <c r="AC31" i="16"/>
  <c r="AE31" i="16"/>
  <c r="AC30" i="16"/>
  <c r="AE30" i="16" s="1"/>
  <c r="AC25" i="16"/>
  <c r="AC26" i="16" s="1"/>
  <c r="AC21" i="16"/>
  <c r="AE21" i="16" s="1"/>
  <c r="AC20" i="16"/>
  <c r="AE20" i="16"/>
  <c r="AC19" i="16"/>
  <c r="AE19" i="16" s="1"/>
  <c r="AC13" i="16"/>
  <c r="AE13" i="16" s="1"/>
  <c r="AC10" i="16"/>
  <c r="AE10" i="16" s="1"/>
  <c r="AC9" i="16"/>
  <c r="AE9" i="16" s="1"/>
  <c r="AC7" i="16"/>
  <c r="AE7" i="16" s="1"/>
  <c r="AC17" i="16"/>
  <c r="AE17" i="16" s="1"/>
  <c r="W13" i="32"/>
  <c r="AA90" i="10"/>
  <c r="AA13" i="32" s="1"/>
  <c r="AE72" i="10"/>
  <c r="AE60" i="10"/>
  <c r="S13" i="20"/>
  <c r="S30" i="32" s="1"/>
  <c r="U49" i="18"/>
  <c r="U27" i="32" s="1"/>
  <c r="U35" i="21"/>
  <c r="U13" i="20"/>
  <c r="U30" i="32" s="1"/>
  <c r="I27" i="29"/>
  <c r="S18" i="21"/>
  <c r="U34" i="16"/>
  <c r="U25" i="32" s="1"/>
  <c r="S49" i="18"/>
  <c r="S27" i="32" s="1"/>
  <c r="Q39" i="17"/>
  <c r="S34" i="16"/>
  <c r="S25" i="32" s="1"/>
  <c r="M35" i="21"/>
  <c r="U18" i="21"/>
  <c r="O18" i="21"/>
  <c r="O35" i="21"/>
  <c r="M18" i="21"/>
  <c r="O11" i="20"/>
  <c r="O13" i="20" s="1"/>
  <c r="O30" i="32" s="1"/>
  <c r="Q6" i="19"/>
  <c r="Q24" i="18"/>
  <c r="Q25" i="18" s="1"/>
  <c r="O29" i="17"/>
  <c r="Q43" i="17"/>
  <c r="O14" i="16"/>
  <c r="O22" i="16"/>
  <c r="Q6" i="16"/>
  <c r="O26" i="16"/>
  <c r="Q29" i="16"/>
  <c r="O90" i="10"/>
  <c r="O13" i="32" s="1"/>
  <c r="Q89" i="10"/>
  <c r="H12" i="37" s="1"/>
  <c r="O41" i="18"/>
  <c r="O20" i="18"/>
  <c r="O13" i="18"/>
  <c r="M49" i="18"/>
  <c r="M27" i="32" s="1"/>
  <c r="O25" i="17"/>
  <c r="O13" i="17"/>
  <c r="M34" i="16"/>
  <c r="M25" i="32" s="1"/>
  <c r="G27" i="29"/>
  <c r="I27" i="30"/>
  <c r="K27" i="30"/>
  <c r="G27" i="30"/>
  <c r="W27" i="30"/>
  <c r="E27" i="30"/>
  <c r="E33" i="30" s="1"/>
  <c r="G29" i="30" s="1"/>
  <c r="W27" i="29"/>
  <c r="K27" i="29"/>
  <c r="G27" i="28"/>
  <c r="K27" i="28"/>
  <c r="I27" i="28"/>
  <c r="E27" i="28"/>
  <c r="C27" i="28"/>
  <c r="C33" i="28" s="1"/>
  <c r="E29" i="28" s="1"/>
  <c r="K27" i="27"/>
  <c r="Q27" i="27"/>
  <c r="G27" i="27"/>
  <c r="W27" i="27"/>
  <c r="I27" i="27"/>
  <c r="C27" i="27"/>
  <c r="C33" i="27" s="1"/>
  <c r="E29" i="27" s="1"/>
  <c r="E27" i="27"/>
  <c r="Q44" i="14"/>
  <c r="AC44" i="14" s="1"/>
  <c r="Q45" i="14"/>
  <c r="Q46" i="14"/>
  <c r="AC46" i="14" s="1"/>
  <c r="Q39" i="14"/>
  <c r="AC39" i="14" s="1"/>
  <c r="Q38" i="14"/>
  <c r="Q37" i="14"/>
  <c r="Q36" i="14"/>
  <c r="Q34" i="14"/>
  <c r="Q30" i="14"/>
  <c r="Q28" i="14"/>
  <c r="Q24" i="14"/>
  <c r="Q19" i="14"/>
  <c r="Q17" i="14"/>
  <c r="Q16" i="14"/>
  <c r="Q11" i="14"/>
  <c r="AC11" i="14" s="1"/>
  <c r="Q10" i="14"/>
  <c r="AC10" i="14" s="1"/>
  <c r="Q8" i="14"/>
  <c r="O47" i="14"/>
  <c r="Q40" i="14"/>
  <c r="Q35" i="14"/>
  <c r="Q29" i="14"/>
  <c r="Q23" i="14"/>
  <c r="Q22" i="14"/>
  <c r="Q21" i="14"/>
  <c r="Q20" i="14"/>
  <c r="Q18" i="14"/>
  <c r="Q12" i="14"/>
  <c r="Q9" i="14"/>
  <c r="Q7" i="14"/>
  <c r="Q6" i="14"/>
  <c r="U47" i="14"/>
  <c r="S47" i="14"/>
  <c r="M47" i="14"/>
  <c r="U41" i="14"/>
  <c r="S41" i="14"/>
  <c r="M41" i="14"/>
  <c r="U31" i="14"/>
  <c r="S31" i="14"/>
  <c r="M31" i="14"/>
  <c r="U25" i="14"/>
  <c r="S25" i="14"/>
  <c r="M25" i="14"/>
  <c r="U13" i="14"/>
  <c r="S13" i="14"/>
  <c r="M13" i="14"/>
  <c r="Q54" i="10"/>
  <c r="AC54" i="10" s="1"/>
  <c r="AE54" i="10" s="1"/>
  <c r="Q53" i="10"/>
  <c r="AC53" i="10" s="1"/>
  <c r="AE53" i="10" s="1"/>
  <c r="Q52" i="10"/>
  <c r="AC52" i="10" s="1"/>
  <c r="Q48" i="10"/>
  <c r="AC48" i="10" s="1"/>
  <c r="Q47" i="10"/>
  <c r="AC47" i="10" s="1"/>
  <c r="AE47" i="10" s="1"/>
  <c r="Q46" i="10"/>
  <c r="AC46" i="10" s="1"/>
  <c r="Q45" i="10"/>
  <c r="Q43" i="10"/>
  <c r="Q42" i="10"/>
  <c r="Q41" i="10"/>
  <c r="H4" i="37" s="1"/>
  <c r="Q44" i="10"/>
  <c r="Q40" i="10"/>
  <c r="H3" i="37" s="1"/>
  <c r="Q36" i="10"/>
  <c r="Q48" i="13"/>
  <c r="Q47" i="13"/>
  <c r="Q46" i="13"/>
  <c r="Q40" i="13"/>
  <c r="Q39" i="13"/>
  <c r="Q38" i="13"/>
  <c r="Q37" i="13"/>
  <c r="Q32" i="13"/>
  <c r="Q27" i="13"/>
  <c r="Q25" i="13"/>
  <c r="Q24" i="13"/>
  <c r="Q22" i="13"/>
  <c r="Q21" i="13"/>
  <c r="Q20" i="13"/>
  <c r="Q19" i="13"/>
  <c r="Q18" i="13"/>
  <c r="AC18" i="13" s="1"/>
  <c r="Q14" i="13"/>
  <c r="AC14" i="13" s="1"/>
  <c r="Q12" i="13"/>
  <c r="AC12" i="13" s="1"/>
  <c r="Q11" i="13"/>
  <c r="AC11" i="13" s="1"/>
  <c r="Q10" i="13"/>
  <c r="Q9" i="13"/>
  <c r="Q7" i="13"/>
  <c r="Q6" i="13"/>
  <c r="Q42" i="13"/>
  <c r="Q41" i="13"/>
  <c r="AC41" i="13" s="1"/>
  <c r="Q36" i="13"/>
  <c r="Q31" i="13"/>
  <c r="Q26" i="13"/>
  <c r="Q23" i="13"/>
  <c r="Q13" i="13"/>
  <c r="Q8" i="13"/>
  <c r="Q32" i="10"/>
  <c r="AC32" i="10" s="1"/>
  <c r="AE32" i="10" s="1"/>
  <c r="Q31" i="10"/>
  <c r="AC31" i="10" s="1"/>
  <c r="Q30" i="10"/>
  <c r="AC30" i="10" s="1"/>
  <c r="Q29" i="10"/>
  <c r="AC29" i="10" s="1"/>
  <c r="Q28" i="10"/>
  <c r="AC28" i="10" s="1"/>
  <c r="U49" i="13"/>
  <c r="S49" i="13"/>
  <c r="O49" i="13"/>
  <c r="M49" i="13"/>
  <c r="U43" i="13"/>
  <c r="S43" i="13"/>
  <c r="M43" i="13"/>
  <c r="U33" i="13"/>
  <c r="S33" i="13"/>
  <c r="M33" i="13"/>
  <c r="U28" i="13"/>
  <c r="S28" i="13"/>
  <c r="M28" i="13"/>
  <c r="U15" i="13"/>
  <c r="S15" i="13"/>
  <c r="M15" i="13"/>
  <c r="Q27" i="12"/>
  <c r="AC27" i="12" s="1"/>
  <c r="AC28" i="12" s="1"/>
  <c r="Q23" i="12"/>
  <c r="Q19" i="12"/>
  <c r="Q18" i="12"/>
  <c r="Q16" i="12"/>
  <c r="Q10" i="12"/>
  <c r="AC10" i="12" s="1"/>
  <c r="Q9" i="12"/>
  <c r="AC9" i="12" s="1"/>
  <c r="Q7" i="12"/>
  <c r="O28" i="12"/>
  <c r="O24" i="12"/>
  <c r="Q17" i="12"/>
  <c r="Q15" i="12"/>
  <c r="AC15" i="12" s="1"/>
  <c r="Q11" i="12"/>
  <c r="Q8" i="12"/>
  <c r="Q6" i="12"/>
  <c r="I28" i="12"/>
  <c r="U28" i="12"/>
  <c r="S28" i="12"/>
  <c r="M28" i="12"/>
  <c r="U24" i="12"/>
  <c r="S24" i="12"/>
  <c r="M24" i="12"/>
  <c r="U20" i="12"/>
  <c r="S20" i="12"/>
  <c r="M20" i="12"/>
  <c r="U12" i="12"/>
  <c r="S12" i="12"/>
  <c r="M12" i="12"/>
  <c r="Q82" i="11"/>
  <c r="Q78" i="11"/>
  <c r="AC78" i="11" s="1"/>
  <c r="AE78" i="11" s="1"/>
  <c r="Q77" i="11"/>
  <c r="AC77" i="11" s="1"/>
  <c r="AE77" i="11" s="1"/>
  <c r="Q76" i="11"/>
  <c r="Q75" i="11"/>
  <c r="AC75" i="11" s="1"/>
  <c r="Q74" i="11"/>
  <c r="AC74" i="11" s="1"/>
  <c r="Q73" i="11"/>
  <c r="AC73" i="11" s="1"/>
  <c r="AE73" i="11" s="1"/>
  <c r="Q72" i="11"/>
  <c r="AC72" i="11" s="1"/>
  <c r="Q71" i="11"/>
  <c r="AC71" i="11" s="1"/>
  <c r="Q70" i="11"/>
  <c r="AC70" i="11" s="1"/>
  <c r="Q69" i="11"/>
  <c r="AC69" i="11" s="1"/>
  <c r="Q68" i="11"/>
  <c r="AC68" i="11" s="1"/>
  <c r="Q67" i="11"/>
  <c r="Q66" i="11"/>
  <c r="Q65" i="11"/>
  <c r="AC65" i="11" s="1"/>
  <c r="AE65" i="11" s="1"/>
  <c r="Q64" i="11"/>
  <c r="AC64" i="11" s="1"/>
  <c r="Q63" i="11"/>
  <c r="AC63" i="11" s="1"/>
  <c r="Q61" i="11"/>
  <c r="Q60" i="11"/>
  <c r="AC60" i="11" s="1"/>
  <c r="Q59" i="11"/>
  <c r="AC59" i="11" s="1"/>
  <c r="Q58" i="11"/>
  <c r="AC58" i="11" s="1"/>
  <c r="Q56" i="11"/>
  <c r="AC56" i="11" s="1"/>
  <c r="Q55" i="11"/>
  <c r="Q52" i="11"/>
  <c r="AC52" i="11" s="1"/>
  <c r="Q51" i="11"/>
  <c r="Q46" i="11"/>
  <c r="AC46" i="11" s="1"/>
  <c r="AE46" i="11" s="1"/>
  <c r="Q41" i="11"/>
  <c r="Q39" i="11"/>
  <c r="Q38" i="11"/>
  <c r="Q37" i="11"/>
  <c r="Q35" i="11"/>
  <c r="AC35" i="11" s="1"/>
  <c r="AE35" i="11" s="1"/>
  <c r="Q33" i="11"/>
  <c r="AC33" i="11" s="1"/>
  <c r="AE33" i="11" s="1"/>
  <c r="Q32" i="11"/>
  <c r="Q30" i="11"/>
  <c r="AC30" i="11" s="1"/>
  <c r="AE30" i="11" s="1"/>
  <c r="Q29" i="11"/>
  <c r="AC29" i="11" s="1"/>
  <c r="Q28" i="11"/>
  <c r="AC28" i="11" s="1"/>
  <c r="AE28" i="11" s="1"/>
  <c r="Q25" i="11"/>
  <c r="AC25" i="11" s="1"/>
  <c r="AE25" i="11" s="1"/>
  <c r="Q22" i="11"/>
  <c r="AC22" i="11" s="1"/>
  <c r="AE22" i="11" s="1"/>
  <c r="Q20" i="11"/>
  <c r="AC20" i="11" s="1"/>
  <c r="AE20" i="11" s="1"/>
  <c r="Q19" i="11"/>
  <c r="Q17" i="11"/>
  <c r="AC17" i="11" s="1"/>
  <c r="Q13" i="11"/>
  <c r="AC13" i="11" s="1"/>
  <c r="Q11" i="11"/>
  <c r="AC11" i="11" s="1"/>
  <c r="Q10" i="11"/>
  <c r="AC10" i="11" s="1"/>
  <c r="Q8" i="11"/>
  <c r="AC8" i="11" s="1"/>
  <c r="Q7" i="11"/>
  <c r="Q62" i="11"/>
  <c r="Q54" i="11"/>
  <c r="Q53" i="11"/>
  <c r="Q50" i="11"/>
  <c r="O47" i="11"/>
  <c r="Q45" i="11"/>
  <c r="AC45" i="11" s="1"/>
  <c r="Q40" i="11"/>
  <c r="Q36" i="11"/>
  <c r="AC36" i="11" s="1"/>
  <c r="AE36" i="11" s="1"/>
  <c r="Q34" i="11"/>
  <c r="AC34" i="11" s="1"/>
  <c r="AE34" i="11" s="1"/>
  <c r="Q31" i="11"/>
  <c r="Q26" i="11"/>
  <c r="AC26" i="11" s="1"/>
  <c r="AE26" i="11" s="1"/>
  <c r="Q24" i="11"/>
  <c r="AC24" i="11" s="1"/>
  <c r="AE24" i="11" s="1"/>
  <c r="Q23" i="11"/>
  <c r="AC23" i="11" s="1"/>
  <c r="AE23" i="11" s="1"/>
  <c r="Q21" i="11"/>
  <c r="AC21" i="11" s="1"/>
  <c r="AE21" i="11" s="1"/>
  <c r="Q18" i="11"/>
  <c r="AC18" i="11" s="1"/>
  <c r="AE18" i="11" s="1"/>
  <c r="Q12" i="11"/>
  <c r="Q9" i="11"/>
  <c r="Q6" i="11"/>
  <c r="U83" i="11"/>
  <c r="S83" i="11"/>
  <c r="O83" i="11"/>
  <c r="M83" i="11"/>
  <c r="U79" i="11"/>
  <c r="S79" i="11"/>
  <c r="M79" i="11"/>
  <c r="U47" i="11"/>
  <c r="S47" i="11"/>
  <c r="M47" i="11"/>
  <c r="U42" i="11"/>
  <c r="S42" i="11"/>
  <c r="M42" i="11"/>
  <c r="U14" i="11"/>
  <c r="S14" i="11"/>
  <c r="M14" i="11"/>
  <c r="Q24" i="10"/>
  <c r="AC24" i="10" s="1"/>
  <c r="AE24" i="10" s="1"/>
  <c r="Q21" i="10"/>
  <c r="AC21" i="10" s="1"/>
  <c r="Q18" i="10"/>
  <c r="AC18" i="10" s="1"/>
  <c r="Q17" i="10"/>
  <c r="AC17" i="10" s="1"/>
  <c r="AE17" i="10" s="1"/>
  <c r="Q13" i="10"/>
  <c r="AC13" i="10" s="1"/>
  <c r="AE13" i="10" s="1"/>
  <c r="Q11" i="10"/>
  <c r="AC11" i="10" s="1"/>
  <c r="Q10" i="10"/>
  <c r="AC10" i="10" s="1"/>
  <c r="Q23" i="10"/>
  <c r="AC23" i="10" s="1"/>
  <c r="Q22" i="10"/>
  <c r="AC22" i="10" s="1"/>
  <c r="Q20" i="10"/>
  <c r="AC20" i="10" s="1"/>
  <c r="AE20" i="10" s="1"/>
  <c r="Q19" i="10"/>
  <c r="AC19" i="10" s="1"/>
  <c r="AE19" i="10" s="1"/>
  <c r="Q16" i="10"/>
  <c r="AC16" i="10" s="1"/>
  <c r="AE16" i="10" s="1"/>
  <c r="Q15" i="10"/>
  <c r="AC15" i="10" s="1"/>
  <c r="Q14" i="10"/>
  <c r="AC14" i="10" s="1"/>
  <c r="Q12" i="10"/>
  <c r="Q9" i="10"/>
  <c r="Q8" i="10"/>
  <c r="Q7" i="10"/>
  <c r="AC7" i="10" s="1"/>
  <c r="Q6" i="10"/>
  <c r="H11" i="37" s="1"/>
  <c r="U86" i="10"/>
  <c r="U12" i="32" s="1"/>
  <c r="S86" i="10"/>
  <c r="S12" i="32" s="1"/>
  <c r="Y86" i="10"/>
  <c r="Y12" i="32" s="1"/>
  <c r="O86" i="10"/>
  <c r="O12" i="32" s="1"/>
  <c r="M86" i="10"/>
  <c r="M12" i="32" s="1"/>
  <c r="U81" i="10"/>
  <c r="U11" i="32" s="1"/>
  <c r="S81" i="10"/>
  <c r="S11" i="32" s="1"/>
  <c r="Y81" i="10"/>
  <c r="Y11" i="32" s="1"/>
  <c r="O81" i="10"/>
  <c r="O11" i="32" s="1"/>
  <c r="M81" i="10"/>
  <c r="M11" i="32" s="1"/>
  <c r="U69" i="10"/>
  <c r="U10" i="32" s="1"/>
  <c r="S69" i="10"/>
  <c r="S10" i="32" s="1"/>
  <c r="Y69" i="10"/>
  <c r="Y10" i="32" s="1"/>
  <c r="O69" i="10"/>
  <c r="O10" i="32" s="1"/>
  <c r="M69" i="10"/>
  <c r="M10" i="32" s="1"/>
  <c r="U56" i="10"/>
  <c r="U9" i="32" s="1"/>
  <c r="S56" i="10"/>
  <c r="S9" i="32" s="1"/>
  <c r="Y56" i="10"/>
  <c r="Y9" i="32" s="1"/>
  <c r="M56" i="10"/>
  <c r="M9" i="32" s="1"/>
  <c r="U49" i="10"/>
  <c r="U8" i="32" s="1"/>
  <c r="S49" i="10"/>
  <c r="S8" i="32" s="1"/>
  <c r="M49" i="10"/>
  <c r="M8" i="32" s="1"/>
  <c r="U37" i="10"/>
  <c r="U7" i="32" s="1"/>
  <c r="S37" i="10"/>
  <c r="S7" i="32" s="1"/>
  <c r="Y37" i="10"/>
  <c r="Y7" i="32" s="1"/>
  <c r="M37" i="10"/>
  <c r="M7" i="32" s="1"/>
  <c r="U33" i="10"/>
  <c r="U6" i="32" s="1"/>
  <c r="S33" i="10"/>
  <c r="S6" i="32" s="1"/>
  <c r="Y33" i="10"/>
  <c r="Y6" i="32" s="1"/>
  <c r="M33" i="10"/>
  <c r="M6" i="32" s="1"/>
  <c r="U25" i="10"/>
  <c r="S25" i="10"/>
  <c r="Y25" i="10"/>
  <c r="M25" i="10"/>
  <c r="Q11" i="9"/>
  <c r="AC11" i="9" s="1"/>
  <c r="Q10" i="9"/>
  <c r="Q9" i="9"/>
  <c r="Q8" i="9"/>
  <c r="Q7" i="9"/>
  <c r="AC7" i="9" s="1"/>
  <c r="Q6" i="9"/>
  <c r="Q5" i="9"/>
  <c r="U13" i="9"/>
  <c r="S13" i="9"/>
  <c r="O13" i="9"/>
  <c r="M13" i="9"/>
  <c r="Q19" i="8"/>
  <c r="AC19" i="8" s="1"/>
  <c r="Q16" i="8"/>
  <c r="Q15" i="8"/>
  <c r="AC15" i="8" s="1"/>
  <c r="AE15" i="8" s="1"/>
  <c r="Q14" i="8"/>
  <c r="Q13" i="8"/>
  <c r="Q12" i="8"/>
  <c r="AC12" i="8" s="1"/>
  <c r="AE12" i="8" s="1"/>
  <c r="Q11" i="8"/>
  <c r="Q10" i="8"/>
  <c r="AC10" i="8" s="1"/>
  <c r="AE10" i="8" s="1"/>
  <c r="Q9" i="8"/>
  <c r="Q8" i="8"/>
  <c r="AC8" i="8" s="1"/>
  <c r="AE8" i="8" s="1"/>
  <c r="Q6" i="8"/>
  <c r="Q5" i="8"/>
  <c r="M21" i="8"/>
  <c r="M24" i="33" s="1"/>
  <c r="Q18" i="8"/>
  <c r="AC18" i="8" s="1"/>
  <c r="Q17" i="8"/>
  <c r="AC17" i="8" s="1"/>
  <c r="Q7" i="8"/>
  <c r="AC7" i="8" s="1"/>
  <c r="U21" i="8"/>
  <c r="U24" i="33" s="1"/>
  <c r="S21" i="8"/>
  <c r="S24" i="33" s="1"/>
  <c r="Q57" i="1"/>
  <c r="Q53" i="1"/>
  <c r="Q52" i="1"/>
  <c r="Q28" i="7"/>
  <c r="Q19" i="7"/>
  <c r="Q13" i="7"/>
  <c r="Q12" i="7"/>
  <c r="AC12" i="7" s="1"/>
  <c r="Q11" i="7"/>
  <c r="AC11" i="7" s="1"/>
  <c r="Q10" i="7"/>
  <c r="Q9" i="7"/>
  <c r="Q7" i="7"/>
  <c r="Q24" i="7"/>
  <c r="AC24" i="7" s="1"/>
  <c r="Q20" i="7"/>
  <c r="Q18" i="7"/>
  <c r="Q17" i="7"/>
  <c r="Q6" i="7"/>
  <c r="Q47" i="1"/>
  <c r="Q48" i="1"/>
  <c r="AC48" i="1" s="1"/>
  <c r="Q46" i="1"/>
  <c r="Q45" i="1"/>
  <c r="U29" i="7"/>
  <c r="S29" i="7"/>
  <c r="O29" i="7"/>
  <c r="M29" i="7"/>
  <c r="U25" i="7"/>
  <c r="S25" i="7"/>
  <c r="M25" i="7"/>
  <c r="U21" i="7"/>
  <c r="S21" i="7"/>
  <c r="M21" i="7"/>
  <c r="U14" i="7"/>
  <c r="S14" i="7"/>
  <c r="M14" i="7"/>
  <c r="Q42" i="6"/>
  <c r="Q40" i="6"/>
  <c r="Q38" i="6"/>
  <c r="Q37" i="6"/>
  <c r="Q28" i="6"/>
  <c r="Q27" i="6"/>
  <c r="Q20" i="6"/>
  <c r="Q19" i="6"/>
  <c r="AC19" i="6" s="1"/>
  <c r="Q18" i="6"/>
  <c r="Q12" i="6"/>
  <c r="Q11" i="6"/>
  <c r="AC11" i="6" s="1"/>
  <c r="Q10" i="6"/>
  <c r="AC10" i="6" s="1"/>
  <c r="Q6" i="6"/>
  <c r="Q41" i="6"/>
  <c r="Q39" i="6"/>
  <c r="Q36" i="6"/>
  <c r="Q32" i="6"/>
  <c r="Q31" i="6"/>
  <c r="Q25" i="6"/>
  <c r="Q21" i="6"/>
  <c r="Q17" i="6"/>
  <c r="Q16" i="6"/>
  <c r="Q9" i="6"/>
  <c r="Q8" i="6"/>
  <c r="Q7" i="6"/>
  <c r="I43" i="6"/>
  <c r="U43" i="6"/>
  <c r="S43" i="6"/>
  <c r="M43" i="6"/>
  <c r="U33" i="6"/>
  <c r="S33" i="6"/>
  <c r="M33" i="6"/>
  <c r="U22" i="6"/>
  <c r="S22" i="6"/>
  <c r="M22" i="6"/>
  <c r="U13" i="6"/>
  <c r="S13" i="6"/>
  <c r="M13" i="6"/>
  <c r="Q34" i="5"/>
  <c r="Q32" i="5"/>
  <c r="Q31" i="5"/>
  <c r="Q19" i="5"/>
  <c r="Q17" i="5"/>
  <c r="Q11" i="5"/>
  <c r="AC11" i="5" s="1"/>
  <c r="Q10" i="5"/>
  <c r="AC10" i="5" s="1"/>
  <c r="Q6" i="5"/>
  <c r="Q35" i="5"/>
  <c r="Q33" i="5"/>
  <c r="Q27" i="5"/>
  <c r="Q26" i="5"/>
  <c r="Q24" i="5"/>
  <c r="Q20" i="5"/>
  <c r="Q18" i="5"/>
  <c r="Q16" i="5"/>
  <c r="Q12" i="5"/>
  <c r="Q9" i="5"/>
  <c r="Q8" i="5"/>
  <c r="Q7" i="5"/>
  <c r="U36" i="5"/>
  <c r="S36" i="5"/>
  <c r="M36" i="5"/>
  <c r="U28" i="5"/>
  <c r="S28" i="5"/>
  <c r="M28" i="5"/>
  <c r="U21" i="5"/>
  <c r="S21" i="5"/>
  <c r="M21" i="5"/>
  <c r="U13" i="5"/>
  <c r="S13" i="5"/>
  <c r="M13" i="5"/>
  <c r="Q41" i="1"/>
  <c r="Q40" i="1"/>
  <c r="Q39" i="1"/>
  <c r="Q38" i="1"/>
  <c r="Q37" i="1"/>
  <c r="AC37" i="1" s="1"/>
  <c r="Q36" i="1"/>
  <c r="Q35" i="1"/>
  <c r="Q38" i="4"/>
  <c r="Q37" i="4"/>
  <c r="Q36" i="4"/>
  <c r="Q33" i="4"/>
  <c r="Q29" i="4"/>
  <c r="Q19" i="4"/>
  <c r="Q18" i="4"/>
  <c r="Q16" i="4"/>
  <c r="Q11" i="4"/>
  <c r="AC11" i="4" s="1"/>
  <c r="Q10" i="4"/>
  <c r="AC10" i="4" s="1"/>
  <c r="Q7" i="4"/>
  <c r="Q40" i="4"/>
  <c r="Q39" i="4"/>
  <c r="Q35" i="4"/>
  <c r="Q25" i="4"/>
  <c r="Q21" i="4"/>
  <c r="Q20" i="4"/>
  <c r="Q17" i="4"/>
  <c r="Q12" i="4"/>
  <c r="Q9" i="4"/>
  <c r="Q8" i="4"/>
  <c r="Q6" i="4"/>
  <c r="U41" i="4"/>
  <c r="S41" i="4"/>
  <c r="M41" i="4"/>
  <c r="U30" i="4"/>
  <c r="S30" i="4"/>
  <c r="M30" i="4"/>
  <c r="U22" i="4"/>
  <c r="S22" i="4"/>
  <c r="M22" i="4"/>
  <c r="U13" i="4"/>
  <c r="S13" i="4"/>
  <c r="M13" i="4"/>
  <c r="Q20" i="3"/>
  <c r="Q38" i="3"/>
  <c r="Q37" i="3"/>
  <c r="Q36" i="3"/>
  <c r="Q35" i="3"/>
  <c r="Q31" i="3"/>
  <c r="Q30" i="3"/>
  <c r="Q26" i="3"/>
  <c r="Q22" i="3"/>
  <c r="Q21" i="3"/>
  <c r="Q19" i="3"/>
  <c r="Q18" i="3"/>
  <c r="Q17" i="3"/>
  <c r="Q16" i="3"/>
  <c r="Q12" i="3"/>
  <c r="Q11" i="3"/>
  <c r="AC11" i="3" s="1"/>
  <c r="Q10" i="3"/>
  <c r="AC10" i="3" s="1"/>
  <c r="Q9" i="3"/>
  <c r="Q8" i="3"/>
  <c r="Q7" i="3"/>
  <c r="Q6" i="3"/>
  <c r="U39" i="3"/>
  <c r="S39" i="3"/>
  <c r="M39" i="3"/>
  <c r="U32" i="3"/>
  <c r="S32" i="3"/>
  <c r="M32" i="3"/>
  <c r="U23" i="3"/>
  <c r="S23" i="3"/>
  <c r="M23" i="3"/>
  <c r="U13" i="3"/>
  <c r="S13" i="3"/>
  <c r="M13" i="3"/>
  <c r="Q31" i="1"/>
  <c r="AC31" i="1" s="1"/>
  <c r="Q30" i="1"/>
  <c r="AC30" i="1" s="1"/>
  <c r="Q29" i="1"/>
  <c r="Q28" i="1"/>
  <c r="Q27" i="1"/>
  <c r="Q26" i="1"/>
  <c r="Q25" i="1"/>
  <c r="Q24" i="1"/>
  <c r="Q23" i="1"/>
  <c r="Q22" i="1"/>
  <c r="Q55" i="2"/>
  <c r="AC55" i="2" s="1"/>
  <c r="Q54" i="2"/>
  <c r="AC54" i="2" s="1"/>
  <c r="Q53" i="2"/>
  <c r="AC53" i="2" s="1"/>
  <c r="Q52" i="2"/>
  <c r="AC52" i="2" s="1"/>
  <c r="Q51" i="2"/>
  <c r="Q50" i="2"/>
  <c r="Q49" i="2"/>
  <c r="AC49" i="2" s="1"/>
  <c r="Q48" i="2"/>
  <c r="Q47" i="2"/>
  <c r="Q46" i="2"/>
  <c r="Q45" i="2"/>
  <c r="AC45" i="2" s="1"/>
  <c r="Q44" i="2"/>
  <c r="Q43" i="2"/>
  <c r="Q39" i="2"/>
  <c r="Q38" i="2"/>
  <c r="Q34" i="2"/>
  <c r="AC34" i="2" s="1"/>
  <c r="Q33" i="2"/>
  <c r="Q32" i="2"/>
  <c r="Q31" i="2"/>
  <c r="Q30" i="2"/>
  <c r="AC30" i="2" s="1"/>
  <c r="Q29" i="2"/>
  <c r="AC29" i="2" s="1"/>
  <c r="Q28" i="2"/>
  <c r="Q27" i="2"/>
  <c r="Q26" i="2"/>
  <c r="Q25" i="2"/>
  <c r="Q24" i="2"/>
  <c r="Q22" i="2"/>
  <c r="Q19" i="2"/>
  <c r="Q18" i="2"/>
  <c r="AC18" i="2" s="1"/>
  <c r="Q17" i="2"/>
  <c r="Q16" i="2"/>
  <c r="Q12" i="2"/>
  <c r="Q11" i="2"/>
  <c r="AC11" i="2" s="1"/>
  <c r="Q10" i="2"/>
  <c r="AC10" i="2" s="1"/>
  <c r="Q9" i="2"/>
  <c r="Q8" i="2"/>
  <c r="Q7" i="2"/>
  <c r="Q6" i="2"/>
  <c r="U13" i="2"/>
  <c r="S13" i="2"/>
  <c r="M13" i="2"/>
  <c r="U35" i="2"/>
  <c r="S35" i="2"/>
  <c r="M35" i="2"/>
  <c r="U40" i="2"/>
  <c r="S40" i="2"/>
  <c r="O40" i="2"/>
  <c r="M40" i="2"/>
  <c r="U56" i="2"/>
  <c r="S56" i="2"/>
  <c r="M56" i="2"/>
  <c r="Q6" i="1"/>
  <c r="AC6" i="1" s="1"/>
  <c r="Q8" i="1"/>
  <c r="Q18" i="1"/>
  <c r="AC18" i="1" s="1"/>
  <c r="Q17" i="1"/>
  <c r="Q16" i="1"/>
  <c r="Q15" i="1"/>
  <c r="AC15" i="1" s="1"/>
  <c r="Q14" i="1"/>
  <c r="AC14" i="1" s="1"/>
  <c r="Q13" i="1"/>
  <c r="AC13" i="1" s="1"/>
  <c r="Q12" i="1"/>
  <c r="AC12" i="1" s="1"/>
  <c r="Q11" i="1"/>
  <c r="AC11" i="1" s="1"/>
  <c r="Q9" i="1"/>
  <c r="Q7" i="1"/>
  <c r="Q10" i="1"/>
  <c r="U19" i="1"/>
  <c r="S19" i="1"/>
  <c r="M19" i="1"/>
  <c r="W19" i="1"/>
  <c r="K19" i="1"/>
  <c r="I19" i="1"/>
  <c r="G19" i="1"/>
  <c r="E19" i="1"/>
  <c r="C19" i="1"/>
  <c r="W13" i="26"/>
  <c r="Q13" i="26"/>
  <c r="Q15" i="26" s="1"/>
  <c r="Q19" i="26" s="1"/>
  <c r="K13" i="26"/>
  <c r="K15" i="26" s="1"/>
  <c r="K19" i="26" s="1"/>
  <c r="I13" i="26"/>
  <c r="I15" i="26" s="1"/>
  <c r="G13" i="26"/>
  <c r="G15" i="26" s="1"/>
  <c r="G19" i="26" s="1"/>
  <c r="E13" i="26"/>
  <c r="E15" i="26" s="1"/>
  <c r="E19" i="26" s="1"/>
  <c r="C13" i="26"/>
  <c r="C15" i="26" s="1"/>
  <c r="C19" i="26" s="1"/>
  <c r="W46" i="25"/>
  <c r="O23" i="34" s="1"/>
  <c r="Q46" i="25"/>
  <c r="K46" i="25"/>
  <c r="K48" i="25" s="1"/>
  <c r="I46" i="25"/>
  <c r="I48" i="25" s="1"/>
  <c r="E46" i="25"/>
  <c r="E48" i="25" s="1"/>
  <c r="C46" i="25"/>
  <c r="C48" i="25" s="1"/>
  <c r="G46" i="25"/>
  <c r="G48" i="25" s="1"/>
  <c r="W21" i="25"/>
  <c r="Q21" i="25"/>
  <c r="K21" i="25"/>
  <c r="I21" i="25"/>
  <c r="G21" i="25"/>
  <c r="E21" i="25"/>
  <c r="C21" i="25"/>
  <c r="W17" i="25"/>
  <c r="Q17" i="25"/>
  <c r="K17" i="25"/>
  <c r="I17" i="25"/>
  <c r="G17" i="25"/>
  <c r="E17" i="25"/>
  <c r="C17" i="25"/>
  <c r="W12" i="25"/>
  <c r="O10" i="34" s="1"/>
  <c r="Q12" i="25"/>
  <c r="AE12" i="25" s="1"/>
  <c r="K12" i="25"/>
  <c r="I12" i="25"/>
  <c r="G12" i="25"/>
  <c r="C12" i="25"/>
  <c r="W8" i="25"/>
  <c r="O5" i="34" s="1"/>
  <c r="Q8" i="25"/>
  <c r="K8" i="25"/>
  <c r="I8" i="25"/>
  <c r="G8" i="25"/>
  <c r="E8" i="25"/>
  <c r="C8" i="25"/>
  <c r="W18" i="24"/>
  <c r="M11" i="34" s="1"/>
  <c r="Q18" i="24"/>
  <c r="K18" i="24"/>
  <c r="I18" i="24"/>
  <c r="G18" i="24"/>
  <c r="E18" i="24"/>
  <c r="C18" i="24"/>
  <c r="C13" i="24"/>
  <c r="E13" i="24"/>
  <c r="G13" i="24"/>
  <c r="I13" i="24"/>
  <c r="K13" i="24"/>
  <c r="Q13" i="24"/>
  <c r="W13" i="24"/>
  <c r="M10" i="34" s="1"/>
  <c r="Q33" i="24"/>
  <c r="Q53" i="24" s="1"/>
  <c r="K33" i="24"/>
  <c r="K53" i="24" s="1"/>
  <c r="I33" i="24"/>
  <c r="I53" i="24" s="1"/>
  <c r="G33" i="24"/>
  <c r="G53" i="24" s="1"/>
  <c r="E33" i="24"/>
  <c r="E53" i="24" s="1"/>
  <c r="C33" i="24"/>
  <c r="C53" i="24" s="1"/>
  <c r="W8" i="24"/>
  <c r="Q8" i="24"/>
  <c r="K8" i="24"/>
  <c r="I8" i="24"/>
  <c r="G8" i="24"/>
  <c r="E8" i="24"/>
  <c r="C8" i="24"/>
  <c r="C24" i="24" s="1"/>
  <c r="C12" i="23"/>
  <c r="W25" i="23"/>
  <c r="W27" i="23" s="1"/>
  <c r="Q25" i="23"/>
  <c r="K25" i="23"/>
  <c r="K27" i="23" s="1"/>
  <c r="I25" i="23"/>
  <c r="I27" i="23" s="1"/>
  <c r="G25" i="23"/>
  <c r="G27" i="23" s="1"/>
  <c r="E25" i="23"/>
  <c r="E27" i="23" s="1"/>
  <c r="C25" i="23"/>
  <c r="C27" i="23" s="1"/>
  <c r="C7" i="23"/>
  <c r="W22" i="22"/>
  <c r="W29" i="22" s="1"/>
  <c r="Q22" i="22"/>
  <c r="K22" i="22"/>
  <c r="K29" i="22" s="1"/>
  <c r="I22" i="22"/>
  <c r="I29" i="22" s="1"/>
  <c r="G22" i="22"/>
  <c r="G29" i="22" s="1"/>
  <c r="E22" i="22"/>
  <c r="E29" i="22" s="1"/>
  <c r="C22" i="22"/>
  <c r="C29" i="22" s="1"/>
  <c r="W12" i="22"/>
  <c r="AA12" i="22" s="1"/>
  <c r="Q12" i="22"/>
  <c r="K12" i="22"/>
  <c r="I12" i="22"/>
  <c r="G12" i="22"/>
  <c r="E12" i="22"/>
  <c r="C12" i="22"/>
  <c r="W8" i="22"/>
  <c r="Q8" i="22"/>
  <c r="K8" i="22"/>
  <c r="I8" i="22"/>
  <c r="G8" i="22"/>
  <c r="E8" i="22"/>
  <c r="C8" i="22"/>
  <c r="W16" i="21"/>
  <c r="Q16" i="21"/>
  <c r="K16" i="21"/>
  <c r="I16" i="21"/>
  <c r="G16" i="21"/>
  <c r="E16" i="21"/>
  <c r="C16" i="21"/>
  <c r="C33" i="21"/>
  <c r="E33" i="21"/>
  <c r="W33" i="21"/>
  <c r="Q33" i="21"/>
  <c r="K33" i="21"/>
  <c r="I33" i="21"/>
  <c r="G33" i="21"/>
  <c r="W11" i="21"/>
  <c r="Q11" i="21"/>
  <c r="K11" i="21"/>
  <c r="I11" i="21"/>
  <c r="C11" i="21"/>
  <c r="E11" i="21"/>
  <c r="G11" i="21"/>
  <c r="W28" i="21"/>
  <c r="G21" i="34" s="1"/>
  <c r="Q28" i="21"/>
  <c r="K28" i="21"/>
  <c r="I28" i="21"/>
  <c r="C28" i="21"/>
  <c r="E28" i="21"/>
  <c r="G28" i="21"/>
  <c r="W7" i="21"/>
  <c r="Q7" i="21"/>
  <c r="K7" i="21"/>
  <c r="I7" i="21"/>
  <c r="G7" i="21"/>
  <c r="E7" i="21"/>
  <c r="C7" i="21"/>
  <c r="W11" i="20"/>
  <c r="Q11" i="20"/>
  <c r="K11" i="20"/>
  <c r="I11" i="20"/>
  <c r="G11" i="20"/>
  <c r="E11" i="20"/>
  <c r="C11" i="20"/>
  <c r="W7" i="20"/>
  <c r="Q7" i="20"/>
  <c r="H26" i="37" s="1"/>
  <c r="K7" i="20"/>
  <c r="I7" i="20"/>
  <c r="I13" i="20" s="1"/>
  <c r="I30" i="32" s="1"/>
  <c r="G7" i="20"/>
  <c r="E7" i="20"/>
  <c r="C7" i="20"/>
  <c r="C8" i="19"/>
  <c r="C10" i="19" s="1"/>
  <c r="C28" i="32" s="1"/>
  <c r="E8" i="19"/>
  <c r="E10" i="19" s="1"/>
  <c r="E28" i="32" s="1"/>
  <c r="G8" i="19"/>
  <c r="G10" i="19" s="1"/>
  <c r="G28" i="32" s="1"/>
  <c r="I8" i="19"/>
  <c r="I10" i="19" s="1"/>
  <c r="I28" i="32" s="1"/>
  <c r="K8" i="19"/>
  <c r="K10" i="19" s="1"/>
  <c r="K28" i="32" s="1"/>
  <c r="W8" i="19"/>
  <c r="W10" i="19" s="1"/>
  <c r="W86" i="10"/>
  <c r="J13" i="37" s="1"/>
  <c r="Q86" i="10"/>
  <c r="K86" i="10"/>
  <c r="K12" i="32" s="1"/>
  <c r="I86" i="10"/>
  <c r="I12" i="32" s="1"/>
  <c r="G86" i="10"/>
  <c r="E86" i="10"/>
  <c r="C86" i="10"/>
  <c r="W47" i="18"/>
  <c r="Q47" i="18"/>
  <c r="K47" i="18"/>
  <c r="I47" i="18"/>
  <c r="G47" i="18"/>
  <c r="E47" i="18"/>
  <c r="C47" i="18"/>
  <c r="W41" i="18"/>
  <c r="Q41" i="18"/>
  <c r="K41" i="18"/>
  <c r="I41" i="18"/>
  <c r="G41" i="18"/>
  <c r="C41" i="18"/>
  <c r="W25" i="18"/>
  <c r="K25" i="18"/>
  <c r="I25" i="18"/>
  <c r="G25" i="18"/>
  <c r="E25" i="18"/>
  <c r="C25" i="18"/>
  <c r="W20" i="18"/>
  <c r="Q20" i="18"/>
  <c r="K20" i="18"/>
  <c r="I20" i="18"/>
  <c r="G20" i="18"/>
  <c r="E20" i="18"/>
  <c r="C20" i="18"/>
  <c r="W13" i="18"/>
  <c r="Q13" i="18"/>
  <c r="K13" i="18"/>
  <c r="I13" i="18"/>
  <c r="G13" i="18"/>
  <c r="E13" i="18"/>
  <c r="C13" i="18"/>
  <c r="W81" i="10"/>
  <c r="Q81" i="10"/>
  <c r="Q11" i="32" s="1"/>
  <c r="K81" i="10"/>
  <c r="K11" i="32" s="1"/>
  <c r="I81" i="10"/>
  <c r="I11" i="32" s="1"/>
  <c r="G81" i="10"/>
  <c r="G11" i="32" s="1"/>
  <c r="E81" i="10"/>
  <c r="E11" i="32" s="1"/>
  <c r="C81" i="10"/>
  <c r="C11" i="32" s="1"/>
  <c r="W29" i="17"/>
  <c r="Q29" i="17"/>
  <c r="K29" i="17"/>
  <c r="I29" i="17"/>
  <c r="G29" i="17"/>
  <c r="E29" i="17"/>
  <c r="C29" i="17"/>
  <c r="W25" i="17"/>
  <c r="Q25" i="17"/>
  <c r="I25" i="17"/>
  <c r="G25" i="17"/>
  <c r="E25" i="17"/>
  <c r="C25" i="17"/>
  <c r="W13" i="17"/>
  <c r="Q13" i="17"/>
  <c r="K13" i="17"/>
  <c r="I13" i="17"/>
  <c r="G13" i="17"/>
  <c r="E13" i="17"/>
  <c r="C13" i="17"/>
  <c r="W69" i="10"/>
  <c r="J9" i="37" s="1"/>
  <c r="Q69" i="10"/>
  <c r="K69" i="10"/>
  <c r="K10" i="32" s="1"/>
  <c r="I69" i="10"/>
  <c r="I10" i="32" s="1"/>
  <c r="G69" i="10"/>
  <c r="E69" i="10"/>
  <c r="C69" i="10"/>
  <c r="H17" i="40" l="1"/>
  <c r="S39" i="21"/>
  <c r="E14" i="22"/>
  <c r="G14" i="22"/>
  <c r="E33" i="29"/>
  <c r="G29" i="29" s="1"/>
  <c r="K14" i="22"/>
  <c r="W15" i="26"/>
  <c r="AE13" i="26"/>
  <c r="AA13" i="26"/>
  <c r="AC8" i="9"/>
  <c r="AE8" i="9"/>
  <c r="C49" i="18"/>
  <c r="AC86" i="10"/>
  <c r="AC12" i="32" s="1"/>
  <c r="AC9" i="8"/>
  <c r="AE9" i="8" s="1"/>
  <c r="E33" i="27"/>
  <c r="G29" i="27" s="1"/>
  <c r="G33" i="27" s="1"/>
  <c r="AC14" i="8"/>
  <c r="AE14" i="8" s="1"/>
  <c r="Y5" i="32"/>
  <c r="C18" i="23"/>
  <c r="S5" i="32"/>
  <c r="S16" i="32" s="1"/>
  <c r="S96" i="10"/>
  <c r="AE23" i="27"/>
  <c r="AA23" i="27"/>
  <c r="U5" i="32"/>
  <c r="U16" i="32" s="1"/>
  <c r="U96" i="10"/>
  <c r="C24" i="31"/>
  <c r="C30" i="31" s="1"/>
  <c r="E26" i="31" s="1"/>
  <c r="E30" i="31" s="1"/>
  <c r="G26" i="31" s="1"/>
  <c r="G30" i="31" s="1"/>
  <c r="AA10" i="27"/>
  <c r="AE10" i="27"/>
  <c r="AE25" i="16"/>
  <c r="K5" i="33"/>
  <c r="I5" i="33"/>
  <c r="W24" i="24"/>
  <c r="Q24" i="24"/>
  <c r="I24" i="24"/>
  <c r="U5" i="33"/>
  <c r="S5" i="33"/>
  <c r="Q29" i="22"/>
  <c r="AC13" i="18"/>
  <c r="AC13" i="17"/>
  <c r="AC45" i="14"/>
  <c r="AC47" i="14" s="1"/>
  <c r="AE45" i="14"/>
  <c r="M5" i="32"/>
  <c r="M16" i="32" s="1"/>
  <c r="M96" i="10"/>
  <c r="H16" i="40"/>
  <c r="AC5" i="9"/>
  <c r="AE5" i="9" s="1"/>
  <c r="AC16" i="8"/>
  <c r="AE16" i="8"/>
  <c r="AC13" i="8"/>
  <c r="AE13" i="8" s="1"/>
  <c r="AC11" i="8"/>
  <c r="AE11" i="8" s="1"/>
  <c r="AC6" i="8"/>
  <c r="AE6" i="8" s="1"/>
  <c r="AC5" i="8"/>
  <c r="M5" i="33"/>
  <c r="C5" i="33"/>
  <c r="E5" i="33"/>
  <c r="G5" i="33"/>
  <c r="AE12" i="22"/>
  <c r="AA27" i="23"/>
  <c r="AA25" i="23"/>
  <c r="E24" i="24"/>
  <c r="G24" i="24"/>
  <c r="K24" i="24"/>
  <c r="AA8" i="25"/>
  <c r="AE21" i="25"/>
  <c r="AA21" i="25"/>
  <c r="AA12" i="25"/>
  <c r="AA17" i="25"/>
  <c r="AE17" i="25"/>
  <c r="AE8" i="25"/>
  <c r="W48" i="25"/>
  <c r="AA46" i="25"/>
  <c r="AA13" i="31"/>
  <c r="AE13" i="31"/>
  <c r="AA23" i="30"/>
  <c r="G33" i="30"/>
  <c r="Q29" i="30" s="1"/>
  <c r="Q33" i="30" s="1"/>
  <c r="W29" i="30" s="1"/>
  <c r="AA13" i="30"/>
  <c r="G33" i="29"/>
  <c r="AA23" i="29"/>
  <c r="AA13" i="29"/>
  <c r="G10" i="32"/>
  <c r="F9" i="37"/>
  <c r="AC81" i="10"/>
  <c r="AC11" i="32" s="1"/>
  <c r="C10" i="32"/>
  <c r="B9" i="37"/>
  <c r="E12" i="32"/>
  <c r="D13" i="37"/>
  <c r="E10" i="32"/>
  <c r="D9" i="37"/>
  <c r="C12" i="32"/>
  <c r="B13" i="37"/>
  <c r="G12" i="32"/>
  <c r="F13" i="37"/>
  <c r="AA23" i="28"/>
  <c r="W27" i="28"/>
  <c r="AA13" i="28"/>
  <c r="AE23" i="30"/>
  <c r="AE13" i="30"/>
  <c r="AE23" i="29"/>
  <c r="AE13" i="29"/>
  <c r="AE23" i="28"/>
  <c r="AE13" i="28"/>
  <c r="AC67" i="11"/>
  <c r="AE67" i="11" s="1"/>
  <c r="AC76" i="11"/>
  <c r="AE76" i="11" s="1"/>
  <c r="Q27" i="23"/>
  <c r="Q31" i="23" s="1"/>
  <c r="AE25" i="23"/>
  <c r="Q12" i="32"/>
  <c r="H13" i="37"/>
  <c r="AC20" i="18"/>
  <c r="AE20" i="18" s="1"/>
  <c r="AE12" i="18"/>
  <c r="Q44" i="17"/>
  <c r="AC43" i="17"/>
  <c r="AC44" i="17" s="1"/>
  <c r="AC39" i="17"/>
  <c r="AE39" i="17" s="1"/>
  <c r="AE33" i="17"/>
  <c r="Q10" i="32"/>
  <c r="H9" i="37"/>
  <c r="AC38" i="14"/>
  <c r="AE38" i="14" s="1"/>
  <c r="AC30" i="14"/>
  <c r="AE30" i="14" s="1"/>
  <c r="AC28" i="14"/>
  <c r="AE28" i="14"/>
  <c r="AC40" i="14"/>
  <c r="AE40" i="14" s="1"/>
  <c r="AC37" i="14"/>
  <c r="AE37" i="14" s="1"/>
  <c r="AC36" i="14"/>
  <c r="AE36" i="14" s="1"/>
  <c r="AC35" i="14"/>
  <c r="AE35" i="14" s="1"/>
  <c r="AC29" i="14"/>
  <c r="AC23" i="14"/>
  <c r="AE23" i="14" s="1"/>
  <c r="AC22" i="14"/>
  <c r="AE22" i="14" s="1"/>
  <c r="AC21" i="14"/>
  <c r="AE21" i="14" s="1"/>
  <c r="AC20" i="14"/>
  <c r="AE20" i="14" s="1"/>
  <c r="AC19" i="14"/>
  <c r="AE19" i="14" s="1"/>
  <c r="AC9" i="14"/>
  <c r="AE9" i="14" s="1"/>
  <c r="AC8" i="14"/>
  <c r="AE8" i="14" s="1"/>
  <c r="AC7" i="14"/>
  <c r="AE7" i="14" s="1"/>
  <c r="AC6" i="14"/>
  <c r="AE6" i="14"/>
  <c r="AC44" i="10"/>
  <c r="AE44" i="10" s="1"/>
  <c r="H8" i="37"/>
  <c r="AC43" i="10"/>
  <c r="AE43" i="10" s="1"/>
  <c r="H5" i="37"/>
  <c r="AC42" i="10"/>
  <c r="AE42" i="10" s="1"/>
  <c r="H6" i="37"/>
  <c r="AC48" i="13"/>
  <c r="AE48" i="13"/>
  <c r="AC23" i="12"/>
  <c r="AC24" i="12" s="1"/>
  <c r="AE23" i="12"/>
  <c r="AC17" i="12"/>
  <c r="AE17" i="12" s="1"/>
  <c r="AC16" i="12"/>
  <c r="AE16" i="12" s="1"/>
  <c r="AC8" i="12"/>
  <c r="AE8" i="12" s="1"/>
  <c r="AC7" i="12"/>
  <c r="AE7" i="12" s="1"/>
  <c r="AC6" i="12"/>
  <c r="AE6" i="12" s="1"/>
  <c r="AC61" i="11"/>
  <c r="AE61" i="11" s="1"/>
  <c r="AC62" i="11"/>
  <c r="AE62" i="11" s="1"/>
  <c r="AC55" i="11"/>
  <c r="AE55" i="11" s="1"/>
  <c r="AC54" i="11"/>
  <c r="AE54" i="11" s="1"/>
  <c r="AC53" i="11"/>
  <c r="AE53" i="11" s="1"/>
  <c r="AC51" i="11"/>
  <c r="AE51" i="11" s="1"/>
  <c r="AC50" i="11"/>
  <c r="AE50" i="11" s="1"/>
  <c r="AC12" i="10"/>
  <c r="AE12" i="10" s="1"/>
  <c r="H10" i="37"/>
  <c r="AC9" i="10"/>
  <c r="AE9" i="10" s="1"/>
  <c r="H15" i="37"/>
  <c r="AC10" i="9"/>
  <c r="AE10" i="9" s="1"/>
  <c r="Q26" i="33"/>
  <c r="AE26" i="33" s="1"/>
  <c r="AC6" i="9"/>
  <c r="AE6" i="9" s="1"/>
  <c r="AC57" i="1"/>
  <c r="AC58" i="1" s="1"/>
  <c r="AC10" i="33" s="1"/>
  <c r="AC52" i="1"/>
  <c r="AE52" i="1" s="1"/>
  <c r="AC53" i="1"/>
  <c r="AE53" i="1"/>
  <c r="AC28" i="7"/>
  <c r="AC29" i="7" s="1"/>
  <c r="AE28" i="7"/>
  <c r="AC20" i="7"/>
  <c r="AE20" i="7" s="1"/>
  <c r="AC19" i="7"/>
  <c r="AE19" i="7" s="1"/>
  <c r="AC18" i="7"/>
  <c r="AE18" i="7" s="1"/>
  <c r="AC17" i="7"/>
  <c r="AE17" i="7" s="1"/>
  <c r="AC10" i="7"/>
  <c r="AE10" i="7" s="1"/>
  <c r="AC9" i="7"/>
  <c r="AE9" i="7" s="1"/>
  <c r="AC7" i="7"/>
  <c r="AE7" i="7" s="1"/>
  <c r="AC6" i="7"/>
  <c r="AE6" i="7" s="1"/>
  <c r="AC47" i="1"/>
  <c r="AE47" i="1" s="1"/>
  <c r="AC46" i="1"/>
  <c r="AE46" i="1" s="1"/>
  <c r="AC45" i="1"/>
  <c r="AC25" i="6"/>
  <c r="AE25" i="6"/>
  <c r="AC17" i="6"/>
  <c r="AE17" i="6" s="1"/>
  <c r="AC42" i="6"/>
  <c r="AE42" i="6" s="1"/>
  <c r="AC41" i="6"/>
  <c r="AE41" i="6" s="1"/>
  <c r="AC40" i="6"/>
  <c r="AE40" i="6" s="1"/>
  <c r="AC39" i="6"/>
  <c r="AE39" i="6" s="1"/>
  <c r="AC38" i="6"/>
  <c r="AE38" i="6" s="1"/>
  <c r="AC37" i="6"/>
  <c r="AE37" i="6" s="1"/>
  <c r="AC36" i="6"/>
  <c r="AC32" i="6"/>
  <c r="AE32" i="6" s="1"/>
  <c r="AC28" i="6"/>
  <c r="AE28" i="6" s="1"/>
  <c r="AC27" i="6"/>
  <c r="AE27" i="6" s="1"/>
  <c r="AC21" i="6"/>
  <c r="AE21" i="6" s="1"/>
  <c r="AC20" i="6"/>
  <c r="AE20" i="6" s="1"/>
  <c r="AC16" i="6"/>
  <c r="AE16" i="6" s="1"/>
  <c r="AC9" i="6"/>
  <c r="AE9" i="6" s="1"/>
  <c r="AC8" i="6"/>
  <c r="AE8" i="6" s="1"/>
  <c r="AC7" i="6"/>
  <c r="AE7" i="6" s="1"/>
  <c r="AC6" i="6"/>
  <c r="AE6" i="6" s="1"/>
  <c r="AC32" i="5"/>
  <c r="AE32" i="5" s="1"/>
  <c r="AC34" i="5"/>
  <c r="AE34" i="5" s="1"/>
  <c r="AC18" i="5"/>
  <c r="AE18" i="5" s="1"/>
  <c r="AC17" i="5"/>
  <c r="AE17" i="5"/>
  <c r="AC35" i="5"/>
  <c r="AE35" i="5" s="1"/>
  <c r="AC33" i="5"/>
  <c r="AE33" i="5" s="1"/>
  <c r="AC27" i="5"/>
  <c r="AE27" i="5" s="1"/>
  <c r="AC24" i="5"/>
  <c r="AE24" i="5" s="1"/>
  <c r="AC20" i="5"/>
  <c r="AE20" i="5" s="1"/>
  <c r="AC19" i="5"/>
  <c r="AE19" i="5" s="1"/>
  <c r="AC9" i="5"/>
  <c r="AE9" i="5" s="1"/>
  <c r="AC8" i="5"/>
  <c r="AE8" i="5"/>
  <c r="AC6" i="5"/>
  <c r="AE6" i="5" s="1"/>
  <c r="AC25" i="4"/>
  <c r="AE25" i="4"/>
  <c r="AC16" i="4"/>
  <c r="AE16" i="4" s="1"/>
  <c r="AC19" i="4"/>
  <c r="AE19" i="4"/>
  <c r="AC17" i="4"/>
  <c r="AE17" i="4" s="1"/>
  <c r="AC40" i="4"/>
  <c r="AE40" i="4" s="1"/>
  <c r="AC39" i="4"/>
  <c r="AE39" i="4" s="1"/>
  <c r="AC37" i="4"/>
  <c r="AE37" i="4" s="1"/>
  <c r="AC35" i="4"/>
  <c r="AE35" i="4" s="1"/>
  <c r="AC29" i="4"/>
  <c r="AE29" i="4" s="1"/>
  <c r="AC21" i="4"/>
  <c r="AE21" i="4" s="1"/>
  <c r="AC20" i="4"/>
  <c r="AE20" i="4" s="1"/>
  <c r="AC18" i="4"/>
  <c r="AC9" i="4"/>
  <c r="AE9" i="4" s="1"/>
  <c r="AC8" i="4"/>
  <c r="AE8" i="4" s="1"/>
  <c r="AC7" i="4"/>
  <c r="AE7" i="4" s="1"/>
  <c r="AC6" i="4"/>
  <c r="AE6" i="4" s="1"/>
  <c r="AC37" i="3"/>
  <c r="AE37" i="3" s="1"/>
  <c r="AC26" i="3"/>
  <c r="AE26" i="3"/>
  <c r="AC38" i="3"/>
  <c r="AE38" i="3" s="1"/>
  <c r="AC36" i="3"/>
  <c r="AE36" i="3" s="1"/>
  <c r="AC35" i="3"/>
  <c r="AE35" i="3"/>
  <c r="AC31" i="3"/>
  <c r="AE31" i="3" s="1"/>
  <c r="AC22" i="3"/>
  <c r="AE22" i="3" s="1"/>
  <c r="AC21" i="3"/>
  <c r="AE21" i="3" s="1"/>
  <c r="AC18" i="3"/>
  <c r="AE18" i="3"/>
  <c r="AC16" i="3"/>
  <c r="AE16" i="3" s="1"/>
  <c r="AC9" i="3"/>
  <c r="AE9" i="3" s="1"/>
  <c r="AC8" i="3"/>
  <c r="AE8" i="3" s="1"/>
  <c r="AC7" i="3"/>
  <c r="AE7" i="3" s="1"/>
  <c r="AC6" i="3"/>
  <c r="AE6" i="3" s="1"/>
  <c r="Q27" i="33"/>
  <c r="AE27" i="33" s="1"/>
  <c r="AC9" i="9"/>
  <c r="AE9" i="9" s="1"/>
  <c r="AC48" i="2"/>
  <c r="AE48" i="2" s="1"/>
  <c r="AC43" i="2"/>
  <c r="AE43" i="2" s="1"/>
  <c r="AC51" i="2"/>
  <c r="AE51" i="2" s="1"/>
  <c r="AC46" i="2"/>
  <c r="AE46" i="2" s="1"/>
  <c r="AA47" i="24"/>
  <c r="AE47" i="24"/>
  <c r="AA8" i="24"/>
  <c r="AE8" i="24"/>
  <c r="AE13" i="24"/>
  <c r="AA13" i="24"/>
  <c r="AA18" i="24"/>
  <c r="AE18" i="24"/>
  <c r="AC31" i="6"/>
  <c r="AE31" i="6" s="1"/>
  <c r="AC31" i="5"/>
  <c r="AE31" i="5" s="1"/>
  <c r="AC33" i="4"/>
  <c r="AE33" i="4" s="1"/>
  <c r="AC16" i="5"/>
  <c r="AE16" i="5" s="1"/>
  <c r="AC7" i="5"/>
  <c r="AE7" i="5" s="1"/>
  <c r="AC50" i="2"/>
  <c r="AE50" i="2" s="1"/>
  <c r="AC47" i="2"/>
  <c r="AE47" i="2" s="1"/>
  <c r="AC44" i="2"/>
  <c r="AE22" i="22"/>
  <c r="AE8" i="22"/>
  <c r="W14" i="22"/>
  <c r="W33" i="22" s="1"/>
  <c r="AA8" i="22"/>
  <c r="Q48" i="25"/>
  <c r="AE46" i="25"/>
  <c r="AC38" i="2"/>
  <c r="AE38" i="2" s="1"/>
  <c r="AC39" i="2"/>
  <c r="AE39" i="2" s="1"/>
  <c r="AC17" i="2"/>
  <c r="AE17" i="2" s="1"/>
  <c r="AC6" i="2"/>
  <c r="AE6" i="2" s="1"/>
  <c r="AC7" i="2"/>
  <c r="AE7" i="2" s="1"/>
  <c r="AC8" i="2"/>
  <c r="AE8" i="2" s="1"/>
  <c r="AC9" i="2"/>
  <c r="AE9" i="2" s="1"/>
  <c r="AC38" i="1"/>
  <c r="AE38" i="1" s="1"/>
  <c r="AC39" i="1"/>
  <c r="AE39" i="1" s="1"/>
  <c r="AC41" i="1"/>
  <c r="AE41" i="1" s="1"/>
  <c r="AC40" i="1"/>
  <c r="AE40" i="1" s="1"/>
  <c r="AC36" i="1"/>
  <c r="AE36" i="1" s="1"/>
  <c r="AC35" i="1"/>
  <c r="AC10" i="1"/>
  <c r="AE10" i="1" s="1"/>
  <c r="AC7" i="1"/>
  <c r="AE7" i="1" s="1"/>
  <c r="AC9" i="1"/>
  <c r="AE9" i="1"/>
  <c r="AC25" i="1"/>
  <c r="AE25" i="1" s="1"/>
  <c r="AC26" i="1"/>
  <c r="AE26" i="1" s="1"/>
  <c r="AC27" i="1"/>
  <c r="AE27" i="1" s="1"/>
  <c r="AC29" i="1"/>
  <c r="AE29" i="1" s="1"/>
  <c r="AC16" i="1"/>
  <c r="AE16" i="1" s="1"/>
  <c r="AC17" i="1"/>
  <c r="AE17" i="1" s="1"/>
  <c r="AC8" i="1"/>
  <c r="AE8" i="1" s="1"/>
  <c r="AC31" i="13"/>
  <c r="AE31" i="13" s="1"/>
  <c r="AC36" i="13"/>
  <c r="AE36" i="13" s="1"/>
  <c r="AC42" i="13"/>
  <c r="AE42" i="13" s="1"/>
  <c r="AC32" i="13"/>
  <c r="AE32" i="13" s="1"/>
  <c r="AC37" i="13"/>
  <c r="AE37" i="13" s="1"/>
  <c r="AC38" i="13"/>
  <c r="AE38" i="13" s="1"/>
  <c r="AC39" i="13"/>
  <c r="AE39" i="13" s="1"/>
  <c r="AC40" i="13"/>
  <c r="AE40" i="13"/>
  <c r="AC46" i="13"/>
  <c r="AE46" i="13"/>
  <c r="AC47" i="13"/>
  <c r="AE47" i="13"/>
  <c r="AC8" i="13"/>
  <c r="AE8" i="13" s="1"/>
  <c r="AC19" i="13"/>
  <c r="AE19" i="13" s="1"/>
  <c r="AC20" i="13"/>
  <c r="AE20" i="13" s="1"/>
  <c r="AC23" i="13"/>
  <c r="AE23" i="13" s="1"/>
  <c r="AC21" i="13"/>
  <c r="AE21" i="13" s="1"/>
  <c r="AC26" i="13"/>
  <c r="AE26" i="13" s="1"/>
  <c r="AC22" i="13"/>
  <c r="AE22" i="13" s="1"/>
  <c r="AC24" i="13"/>
  <c r="AE24" i="13" s="1"/>
  <c r="AC25" i="13"/>
  <c r="AE25" i="13" s="1"/>
  <c r="AC27" i="13"/>
  <c r="AE27" i="13" s="1"/>
  <c r="AC6" i="13"/>
  <c r="AE6" i="13" s="1"/>
  <c r="AC7" i="13"/>
  <c r="AE7" i="13" s="1"/>
  <c r="AC9" i="13"/>
  <c r="AE9" i="13" s="1"/>
  <c r="AC10" i="13"/>
  <c r="AE10" i="13" s="1"/>
  <c r="AC9" i="11"/>
  <c r="AE9" i="11" s="1"/>
  <c r="AC7" i="11"/>
  <c r="AE7" i="11" s="1"/>
  <c r="AC37" i="11"/>
  <c r="AE37" i="11" s="1"/>
  <c r="AC38" i="11"/>
  <c r="AE38" i="11" s="1"/>
  <c r="AC39" i="11"/>
  <c r="AE39" i="11" s="1"/>
  <c r="AC41" i="11"/>
  <c r="AE41" i="11" s="1"/>
  <c r="AC31" i="11"/>
  <c r="AE31" i="11" s="1"/>
  <c r="AC19" i="11"/>
  <c r="AE19" i="11" s="1"/>
  <c r="AC40" i="11"/>
  <c r="AE40" i="11" s="1"/>
  <c r="AC32" i="11"/>
  <c r="AE32" i="11" s="1"/>
  <c r="AC69" i="10"/>
  <c r="AC10" i="32" s="1"/>
  <c r="AC6" i="10"/>
  <c r="AE6" i="10" s="1"/>
  <c r="AC36" i="10"/>
  <c r="AC37" i="10" s="1"/>
  <c r="AC7" i="32" s="1"/>
  <c r="AC40" i="10"/>
  <c r="AE40" i="10" s="1"/>
  <c r="AC41" i="10"/>
  <c r="AE41" i="10" s="1"/>
  <c r="AC45" i="10"/>
  <c r="AE45" i="10" s="1"/>
  <c r="AC13" i="7"/>
  <c r="AE13" i="7" s="1"/>
  <c r="AC12" i="6"/>
  <c r="AC12" i="5"/>
  <c r="AE12" i="5" s="1"/>
  <c r="AC12" i="4"/>
  <c r="AE12" i="4" s="1"/>
  <c r="AC12" i="3"/>
  <c r="AE12" i="3" s="1"/>
  <c r="AC12" i="2"/>
  <c r="AE12" i="2" s="1"/>
  <c r="AC41" i="18"/>
  <c r="AC13" i="13"/>
  <c r="AE13" i="13" s="1"/>
  <c r="AC11" i="12"/>
  <c r="AC12" i="11"/>
  <c r="AE12" i="11" s="1"/>
  <c r="Q8" i="19"/>
  <c r="Q10" i="19" s="1"/>
  <c r="Q28" i="32" s="1"/>
  <c r="AC6" i="19"/>
  <c r="AC8" i="19" s="1"/>
  <c r="AC10" i="19" s="1"/>
  <c r="AC28" i="32" s="1"/>
  <c r="AC24" i="18"/>
  <c r="AE24" i="18" s="1"/>
  <c r="AE23" i="18"/>
  <c r="AE17" i="18"/>
  <c r="AC12" i="14"/>
  <c r="AE12" i="17"/>
  <c r="Q29" i="29"/>
  <c r="Q33" i="29" s="1"/>
  <c r="W29" i="29" s="1"/>
  <c r="K29" i="29"/>
  <c r="K33" i="29" s="1"/>
  <c r="I29" i="29"/>
  <c r="I33" i="29" s="1"/>
  <c r="E33" i="28"/>
  <c r="G29" i="28" s="1"/>
  <c r="G33" i="28" s="1"/>
  <c r="I19" i="26"/>
  <c r="AC25" i="7"/>
  <c r="AE24" i="7"/>
  <c r="AC18" i="6"/>
  <c r="AC26" i="5"/>
  <c r="AC36" i="4"/>
  <c r="AE36" i="4" s="1"/>
  <c r="AC38" i="4"/>
  <c r="AE38" i="4" s="1"/>
  <c r="AC30" i="3"/>
  <c r="AC20" i="3"/>
  <c r="AE20" i="3" s="1"/>
  <c r="AC19" i="3"/>
  <c r="AE19" i="3" s="1"/>
  <c r="AC17" i="3"/>
  <c r="AE17" i="3" s="1"/>
  <c r="AC33" i="2"/>
  <c r="AE33" i="2" s="1"/>
  <c r="AC32" i="2"/>
  <c r="AE32" i="2" s="1"/>
  <c r="AC31" i="2"/>
  <c r="AE31" i="2" s="1"/>
  <c r="AC28" i="2"/>
  <c r="AE28" i="2" s="1"/>
  <c r="AC27" i="2"/>
  <c r="AE27" i="2" s="1"/>
  <c r="AC26" i="2"/>
  <c r="AE26" i="2" s="1"/>
  <c r="AC25" i="2"/>
  <c r="AE25" i="2" s="1"/>
  <c r="AC24" i="2"/>
  <c r="AE24" i="2" s="1"/>
  <c r="AC22" i="2"/>
  <c r="AE22" i="2" s="1"/>
  <c r="AC19" i="2"/>
  <c r="AE19" i="2" s="1"/>
  <c r="AC16" i="2"/>
  <c r="AE16" i="2" s="1"/>
  <c r="AE37" i="1"/>
  <c r="AC24" i="1"/>
  <c r="AE24" i="1" s="1"/>
  <c r="AC28" i="1"/>
  <c r="AE28" i="1" s="1"/>
  <c r="AC23" i="1"/>
  <c r="AE23" i="1" s="1"/>
  <c r="AC22" i="1"/>
  <c r="AE15" i="1"/>
  <c r="W5" i="33"/>
  <c r="AA19" i="1"/>
  <c r="AA5" i="33" s="1"/>
  <c r="AE11" i="20"/>
  <c r="AA11" i="20"/>
  <c r="AE7" i="20"/>
  <c r="AA7" i="20"/>
  <c r="W28" i="32"/>
  <c r="AA10" i="19"/>
  <c r="AA28" i="32" s="1"/>
  <c r="AA8" i="19"/>
  <c r="AA47" i="18"/>
  <c r="AE47" i="18"/>
  <c r="AA41" i="18"/>
  <c r="AA25" i="18"/>
  <c r="AA20" i="18"/>
  <c r="AE13" i="18"/>
  <c r="AA13" i="18"/>
  <c r="AC25" i="17"/>
  <c r="AC22" i="16"/>
  <c r="AC34" i="14"/>
  <c r="AC24" i="14"/>
  <c r="AE24" i="14"/>
  <c r="AC18" i="14"/>
  <c r="AE18" i="14" s="1"/>
  <c r="AC17" i="14"/>
  <c r="AE17" i="14" s="1"/>
  <c r="AC16" i="14"/>
  <c r="AE16" i="14" s="1"/>
  <c r="AC18" i="12"/>
  <c r="AE18" i="12" s="1"/>
  <c r="AC66" i="11"/>
  <c r="AE66" i="11" s="1"/>
  <c r="AC6" i="11"/>
  <c r="AE29" i="17"/>
  <c r="AA29" i="17"/>
  <c r="AA25" i="17"/>
  <c r="AA13" i="17"/>
  <c r="AE13" i="17"/>
  <c r="AC29" i="16"/>
  <c r="AC32" i="16" s="1"/>
  <c r="AC6" i="16"/>
  <c r="AC14" i="16" s="1"/>
  <c r="AE18" i="13"/>
  <c r="AC19" i="12"/>
  <c r="AE19" i="12" s="1"/>
  <c r="AE15" i="12"/>
  <c r="AC82" i="11"/>
  <c r="AC83" i="11" s="1"/>
  <c r="AE56" i="11"/>
  <c r="AC47" i="11"/>
  <c r="AE45" i="11"/>
  <c r="AE17" i="11"/>
  <c r="AE8" i="11"/>
  <c r="Q90" i="10"/>
  <c r="Q13" i="32" s="1"/>
  <c r="AC89" i="10"/>
  <c r="W12" i="32"/>
  <c r="AA86" i="10"/>
  <c r="AA12" i="32" s="1"/>
  <c r="AE86" i="10"/>
  <c r="AE12" i="32" s="1"/>
  <c r="W11" i="32"/>
  <c r="AA81" i="10"/>
  <c r="AA11" i="32" s="1"/>
  <c r="W10" i="32"/>
  <c r="AA69" i="10"/>
  <c r="AA10" i="32" s="1"/>
  <c r="AE52" i="10"/>
  <c r="AC33" i="10"/>
  <c r="AC6" i="32" s="1"/>
  <c r="AE29" i="10"/>
  <c r="AC8" i="10"/>
  <c r="AA22" i="22"/>
  <c r="I14" i="22"/>
  <c r="AE33" i="21"/>
  <c r="AA33" i="21"/>
  <c r="AA28" i="21"/>
  <c r="AE28" i="21"/>
  <c r="AA16" i="21"/>
  <c r="AE16" i="21"/>
  <c r="AA11" i="21"/>
  <c r="AE11" i="21"/>
  <c r="AA7" i="21"/>
  <c r="AE7" i="21"/>
  <c r="W18" i="21"/>
  <c r="S31" i="7"/>
  <c r="S23" i="33" s="1"/>
  <c r="U39" i="21"/>
  <c r="M39" i="21"/>
  <c r="O39" i="21"/>
  <c r="Q14" i="22"/>
  <c r="W23" i="25"/>
  <c r="C18" i="21"/>
  <c r="Q18" i="21"/>
  <c r="I18" i="21"/>
  <c r="I13" i="34" s="1"/>
  <c r="K18" i="21"/>
  <c r="Q35" i="21"/>
  <c r="G18" i="21"/>
  <c r="G35" i="21"/>
  <c r="E13" i="20"/>
  <c r="E30" i="32" s="1"/>
  <c r="G13" i="20"/>
  <c r="G30" i="32" s="1"/>
  <c r="K13" i="20"/>
  <c r="K30" i="32" s="1"/>
  <c r="Q13" i="20"/>
  <c r="Q30" i="32" s="1"/>
  <c r="W13" i="20"/>
  <c r="W30" i="32" s="1"/>
  <c r="C13" i="20"/>
  <c r="C30" i="32" s="1"/>
  <c r="O34" i="16"/>
  <c r="O25" i="32" s="1"/>
  <c r="S49" i="14"/>
  <c r="S24" i="32" s="1"/>
  <c r="U49" i="14"/>
  <c r="U24" i="32" s="1"/>
  <c r="O37" i="10"/>
  <c r="O7" i="32" s="1"/>
  <c r="S51" i="13"/>
  <c r="S23" i="32" s="1"/>
  <c r="U51" i="13"/>
  <c r="U23" i="32" s="1"/>
  <c r="O28" i="13"/>
  <c r="S30" i="12"/>
  <c r="S22" i="32" s="1"/>
  <c r="U30" i="12"/>
  <c r="U22" i="32" s="1"/>
  <c r="S85" i="11"/>
  <c r="S21" i="32" s="1"/>
  <c r="U85" i="11"/>
  <c r="U21" i="32" s="1"/>
  <c r="O14" i="11"/>
  <c r="O56" i="10"/>
  <c r="O9" i="32" s="1"/>
  <c r="Q55" i="10"/>
  <c r="U31" i="7"/>
  <c r="U23" i="33" s="1"/>
  <c r="S45" i="6"/>
  <c r="S22" i="33" s="1"/>
  <c r="U45" i="6"/>
  <c r="U22" i="33" s="1"/>
  <c r="U38" i="5"/>
  <c r="U21" i="33" s="1"/>
  <c r="S38" i="5"/>
  <c r="S21" i="33" s="1"/>
  <c r="O28" i="5"/>
  <c r="O13" i="5"/>
  <c r="S43" i="4"/>
  <c r="S20" i="33" s="1"/>
  <c r="U43" i="4"/>
  <c r="U20" i="33" s="1"/>
  <c r="O30" i="4"/>
  <c r="S41" i="3"/>
  <c r="S19" i="33" s="1"/>
  <c r="U41" i="3"/>
  <c r="U19" i="33" s="1"/>
  <c r="U58" i="2"/>
  <c r="U18" i="33" s="1"/>
  <c r="S58" i="2"/>
  <c r="S18" i="33" s="1"/>
  <c r="O49" i="18"/>
  <c r="O27" i="32" s="1"/>
  <c r="E35" i="21"/>
  <c r="E18" i="21"/>
  <c r="C14" i="22"/>
  <c r="O41" i="14"/>
  <c r="O31" i="14"/>
  <c r="O25" i="14"/>
  <c r="O13" i="14"/>
  <c r="M49" i="14"/>
  <c r="M24" i="32" s="1"/>
  <c r="O49" i="10"/>
  <c r="O8" i="32" s="1"/>
  <c r="M51" i="13"/>
  <c r="M23" i="32" s="1"/>
  <c r="O43" i="13"/>
  <c r="O33" i="13"/>
  <c r="O15" i="13"/>
  <c r="O33" i="10"/>
  <c r="O6" i="32" s="1"/>
  <c r="O20" i="12"/>
  <c r="O12" i="12"/>
  <c r="M30" i="12"/>
  <c r="M22" i="32" s="1"/>
  <c r="O79" i="11"/>
  <c r="O42" i="11"/>
  <c r="M85" i="11"/>
  <c r="M21" i="32" s="1"/>
  <c r="O25" i="10"/>
  <c r="O21" i="8"/>
  <c r="O24" i="33" s="1"/>
  <c r="M31" i="7"/>
  <c r="M23" i="33" s="1"/>
  <c r="O25" i="7"/>
  <c r="O21" i="7"/>
  <c r="O14" i="7"/>
  <c r="O43" i="6"/>
  <c r="O33" i="6"/>
  <c r="O22" i="6"/>
  <c r="O13" i="6"/>
  <c r="M45" i="6"/>
  <c r="M22" i="33" s="1"/>
  <c r="O36" i="5"/>
  <c r="O21" i="5"/>
  <c r="M38" i="5"/>
  <c r="M21" i="33" s="1"/>
  <c r="O41" i="4"/>
  <c r="O22" i="4"/>
  <c r="O13" i="4"/>
  <c r="M43" i="4"/>
  <c r="M20" i="33" s="1"/>
  <c r="O39" i="3"/>
  <c r="O32" i="3"/>
  <c r="O23" i="3"/>
  <c r="O13" i="3"/>
  <c r="M41" i="3"/>
  <c r="M19" i="33" s="1"/>
  <c r="O56" i="2"/>
  <c r="O35" i="2"/>
  <c r="O13" i="2"/>
  <c r="M58" i="2"/>
  <c r="M18" i="33" s="1"/>
  <c r="O19" i="1"/>
  <c r="Q19" i="1"/>
  <c r="C25" i="26"/>
  <c r="E21" i="26" s="1"/>
  <c r="E25" i="26" s="1"/>
  <c r="G21" i="26" s="1"/>
  <c r="G25" i="26" s="1"/>
  <c r="G23" i="25"/>
  <c r="K23" i="25"/>
  <c r="C23" i="25"/>
  <c r="E23" i="25"/>
  <c r="Q23" i="25"/>
  <c r="I23" i="25"/>
  <c r="AE18" i="23"/>
  <c r="K33" i="22"/>
  <c r="C35" i="21"/>
  <c r="W35" i="21"/>
  <c r="K35" i="21"/>
  <c r="I35" i="21"/>
  <c r="E49" i="18"/>
  <c r="E27" i="32" s="1"/>
  <c r="I49" i="18"/>
  <c r="I27" i="32" s="1"/>
  <c r="K49" i="18"/>
  <c r="K27" i="32" s="1"/>
  <c r="Q49" i="18"/>
  <c r="Q27" i="32" s="1"/>
  <c r="G49" i="18"/>
  <c r="G27" i="32" s="1"/>
  <c r="W49" i="18"/>
  <c r="C27" i="32"/>
  <c r="U58" i="1"/>
  <c r="U10" i="33" s="1"/>
  <c r="U54" i="1"/>
  <c r="U9" i="33" s="1"/>
  <c r="U49" i="1"/>
  <c r="U8" i="33" s="1"/>
  <c r="U42" i="1"/>
  <c r="U7" i="33" s="1"/>
  <c r="U32" i="1"/>
  <c r="U6" i="33" s="1"/>
  <c r="S58" i="1"/>
  <c r="S10" i="33" s="1"/>
  <c r="S54" i="1"/>
  <c r="S9" i="33" s="1"/>
  <c r="S49" i="1"/>
  <c r="S8" i="33" s="1"/>
  <c r="S42" i="1"/>
  <c r="S7" i="33" s="1"/>
  <c r="S32" i="1"/>
  <c r="S6" i="33" s="1"/>
  <c r="O58" i="1"/>
  <c r="O10" i="33" s="1"/>
  <c r="O54" i="1"/>
  <c r="O9" i="33" s="1"/>
  <c r="O49" i="1"/>
  <c r="O8" i="33" s="1"/>
  <c r="O42" i="1"/>
  <c r="O7" i="33" s="1"/>
  <c r="O32" i="1"/>
  <c r="O6" i="33" s="1"/>
  <c r="M58" i="1"/>
  <c r="M10" i="33" s="1"/>
  <c r="M54" i="1"/>
  <c r="M9" i="33" s="1"/>
  <c r="M49" i="1"/>
  <c r="M8" i="33" s="1"/>
  <c r="M42" i="1"/>
  <c r="M7" i="33" s="1"/>
  <c r="M32" i="1"/>
  <c r="M6" i="33" s="1"/>
  <c r="W32" i="16"/>
  <c r="Q32" i="16"/>
  <c r="K32" i="16"/>
  <c r="I32" i="16"/>
  <c r="G32" i="16"/>
  <c r="E32" i="16"/>
  <c r="C32" i="16"/>
  <c r="W26" i="16"/>
  <c r="Q26" i="16"/>
  <c r="K26" i="16"/>
  <c r="G26" i="16"/>
  <c r="E26" i="16"/>
  <c r="C26" i="16"/>
  <c r="W22" i="16"/>
  <c r="Q22" i="16"/>
  <c r="K22" i="16"/>
  <c r="I22" i="16"/>
  <c r="G22" i="16"/>
  <c r="E22" i="16"/>
  <c r="C22" i="16"/>
  <c r="W14" i="16"/>
  <c r="Q14" i="16"/>
  <c r="K14" i="16"/>
  <c r="I14" i="16"/>
  <c r="G14" i="16"/>
  <c r="E14" i="16"/>
  <c r="C14" i="16"/>
  <c r="W47" i="14"/>
  <c r="Q47" i="14"/>
  <c r="K47" i="14"/>
  <c r="I47" i="14"/>
  <c r="G47" i="14"/>
  <c r="E47" i="14"/>
  <c r="C47" i="14"/>
  <c r="W41" i="14"/>
  <c r="Q41" i="14"/>
  <c r="K41" i="14"/>
  <c r="I41" i="14"/>
  <c r="G41" i="14"/>
  <c r="C41" i="14"/>
  <c r="W31" i="14"/>
  <c r="Q31" i="14"/>
  <c r="K31" i="14"/>
  <c r="I31" i="14"/>
  <c r="G31" i="14"/>
  <c r="E31" i="14"/>
  <c r="C31" i="14"/>
  <c r="W25" i="14"/>
  <c r="Q25" i="14"/>
  <c r="K25" i="14"/>
  <c r="I25" i="14"/>
  <c r="G25" i="14"/>
  <c r="E25" i="14"/>
  <c r="C25" i="14"/>
  <c r="W13" i="14"/>
  <c r="Q13" i="14"/>
  <c r="K13" i="14"/>
  <c r="I13" i="14"/>
  <c r="G13" i="14"/>
  <c r="E13" i="14"/>
  <c r="C13" i="14"/>
  <c r="W49" i="13"/>
  <c r="Q49" i="13"/>
  <c r="K49" i="13"/>
  <c r="I49" i="13"/>
  <c r="G49" i="13"/>
  <c r="E49" i="13"/>
  <c r="C49" i="13"/>
  <c r="W43" i="13"/>
  <c r="Q43" i="13"/>
  <c r="K43" i="13"/>
  <c r="I43" i="13"/>
  <c r="G43" i="13"/>
  <c r="E43" i="13"/>
  <c r="C43" i="13"/>
  <c r="W33" i="13"/>
  <c r="Q33" i="13"/>
  <c r="K33" i="13"/>
  <c r="I33" i="13"/>
  <c r="G33" i="13"/>
  <c r="E33" i="13"/>
  <c r="C33" i="13"/>
  <c r="Q28" i="13"/>
  <c r="K28" i="13"/>
  <c r="I28" i="13"/>
  <c r="G28" i="13"/>
  <c r="E28" i="13"/>
  <c r="C28" i="13"/>
  <c r="W15" i="13"/>
  <c r="Q15" i="13"/>
  <c r="K15" i="13"/>
  <c r="I15" i="13"/>
  <c r="G15" i="13"/>
  <c r="E15" i="13"/>
  <c r="C15" i="13"/>
  <c r="W28" i="12"/>
  <c r="Q28" i="12"/>
  <c r="K28" i="12"/>
  <c r="G28" i="12"/>
  <c r="E28" i="12"/>
  <c r="C28" i="12"/>
  <c r="W24" i="12"/>
  <c r="Q24" i="12"/>
  <c r="K24" i="12"/>
  <c r="I24" i="12"/>
  <c r="G24" i="12"/>
  <c r="E24" i="12"/>
  <c r="C24" i="12"/>
  <c r="W20" i="12"/>
  <c r="Q20" i="12"/>
  <c r="K20" i="12"/>
  <c r="I20" i="12"/>
  <c r="G20" i="12"/>
  <c r="E20" i="12"/>
  <c r="C20" i="12"/>
  <c r="W12" i="12"/>
  <c r="Q12" i="12"/>
  <c r="K12" i="12"/>
  <c r="I12" i="12"/>
  <c r="G12" i="12"/>
  <c r="E12" i="12"/>
  <c r="C12" i="12"/>
  <c r="W83" i="11"/>
  <c r="Q83" i="11"/>
  <c r="K83" i="11"/>
  <c r="I83" i="11"/>
  <c r="G83" i="11"/>
  <c r="E83" i="11"/>
  <c r="W79" i="11"/>
  <c r="Q79" i="11"/>
  <c r="K79" i="11"/>
  <c r="I79" i="11"/>
  <c r="G79" i="11"/>
  <c r="E79" i="11"/>
  <c r="C83" i="11"/>
  <c r="C79" i="11"/>
  <c r="W47" i="11"/>
  <c r="E20" i="34" s="1"/>
  <c r="Q47" i="11"/>
  <c r="K47" i="11"/>
  <c r="I47" i="11"/>
  <c r="G47" i="11"/>
  <c r="E47" i="11"/>
  <c r="C47" i="11"/>
  <c r="W42" i="11"/>
  <c r="Q42" i="11"/>
  <c r="K42" i="11"/>
  <c r="I42" i="11"/>
  <c r="G42" i="11"/>
  <c r="E42" i="11"/>
  <c r="C42" i="11"/>
  <c r="W14" i="11"/>
  <c r="Q14" i="11"/>
  <c r="K14" i="11"/>
  <c r="I14" i="11"/>
  <c r="G14" i="11"/>
  <c r="E14" i="11"/>
  <c r="C14" i="11"/>
  <c r="W56" i="10"/>
  <c r="K56" i="10"/>
  <c r="K9" i="32" s="1"/>
  <c r="I56" i="10"/>
  <c r="I9" i="32" s="1"/>
  <c r="G56" i="10"/>
  <c r="G9" i="32" s="1"/>
  <c r="E56" i="10"/>
  <c r="E9" i="32" s="1"/>
  <c r="C56" i="10"/>
  <c r="C9" i="32" s="1"/>
  <c r="W49" i="10"/>
  <c r="Q49" i="10"/>
  <c r="Q8" i="32" s="1"/>
  <c r="K49" i="10"/>
  <c r="K8" i="32" s="1"/>
  <c r="I49" i="10"/>
  <c r="I8" i="32" s="1"/>
  <c r="G49" i="10"/>
  <c r="G8" i="32" s="1"/>
  <c r="E49" i="10"/>
  <c r="E8" i="32" s="1"/>
  <c r="C49" i="10"/>
  <c r="C8" i="32" s="1"/>
  <c r="W37" i="10"/>
  <c r="Q37" i="10"/>
  <c r="Q7" i="32" s="1"/>
  <c r="K37" i="10"/>
  <c r="K7" i="32" s="1"/>
  <c r="I37" i="10"/>
  <c r="I7" i="32" s="1"/>
  <c r="G37" i="10"/>
  <c r="G7" i="32" s="1"/>
  <c r="E37" i="10"/>
  <c r="E7" i="32" s="1"/>
  <c r="C37" i="10"/>
  <c r="C7" i="32" s="1"/>
  <c r="W33" i="10"/>
  <c r="Q33" i="10"/>
  <c r="K33" i="10"/>
  <c r="K6" i="32" s="1"/>
  <c r="I33" i="10"/>
  <c r="I6" i="32" s="1"/>
  <c r="G33" i="10"/>
  <c r="E33" i="10"/>
  <c r="C33" i="10"/>
  <c r="W25" i="10"/>
  <c r="Q25" i="10"/>
  <c r="K25" i="10"/>
  <c r="I25" i="10"/>
  <c r="G25" i="10"/>
  <c r="E25" i="10"/>
  <c r="C25" i="10"/>
  <c r="W13" i="9"/>
  <c r="C22" i="34" s="1"/>
  <c r="Q13" i="9"/>
  <c r="K13" i="9"/>
  <c r="I13" i="9"/>
  <c r="G13" i="9"/>
  <c r="E13" i="9"/>
  <c r="C13" i="9"/>
  <c r="W21" i="8"/>
  <c r="C23" i="34" s="1"/>
  <c r="Q21" i="8"/>
  <c r="K21" i="8"/>
  <c r="K24" i="33" s="1"/>
  <c r="I21" i="8"/>
  <c r="I24" i="33" s="1"/>
  <c r="G21" i="8"/>
  <c r="E21" i="8"/>
  <c r="C21" i="8"/>
  <c r="E13" i="4"/>
  <c r="W29" i="7"/>
  <c r="Q29" i="7"/>
  <c r="K29" i="7"/>
  <c r="I29" i="7"/>
  <c r="G29" i="7"/>
  <c r="E29" i="7"/>
  <c r="C29" i="7"/>
  <c r="W25" i="7"/>
  <c r="Q25" i="7"/>
  <c r="K25" i="7"/>
  <c r="I25" i="7"/>
  <c r="G25" i="7"/>
  <c r="E25" i="7"/>
  <c r="C25" i="7"/>
  <c r="W21" i="7"/>
  <c r="Q21" i="7"/>
  <c r="K21" i="7"/>
  <c r="I21" i="7"/>
  <c r="G21" i="7"/>
  <c r="E21" i="7"/>
  <c r="C21" i="7"/>
  <c r="W14" i="7"/>
  <c r="Q14" i="7"/>
  <c r="K14" i="7"/>
  <c r="I14" i="7"/>
  <c r="G14" i="7"/>
  <c r="E14" i="7"/>
  <c r="C14" i="7"/>
  <c r="W43" i="6"/>
  <c r="Q43" i="6"/>
  <c r="K43" i="6"/>
  <c r="G43" i="6"/>
  <c r="E43" i="6"/>
  <c r="C43" i="6"/>
  <c r="W33" i="6"/>
  <c r="Q33" i="6"/>
  <c r="K33" i="6"/>
  <c r="I33" i="6"/>
  <c r="G33" i="6"/>
  <c r="E33" i="6"/>
  <c r="C33" i="6"/>
  <c r="W22" i="6"/>
  <c r="Q22" i="6"/>
  <c r="K22" i="6"/>
  <c r="I22" i="6"/>
  <c r="G22" i="6"/>
  <c r="E22" i="6"/>
  <c r="C22" i="6"/>
  <c r="W13" i="6"/>
  <c r="Q13" i="6"/>
  <c r="K13" i="6"/>
  <c r="I13" i="6"/>
  <c r="G13" i="6"/>
  <c r="E13" i="6"/>
  <c r="C13" i="6"/>
  <c r="W36" i="5"/>
  <c r="Q36" i="5"/>
  <c r="K36" i="5"/>
  <c r="I36" i="5"/>
  <c r="G36" i="5"/>
  <c r="E36" i="5"/>
  <c r="C36" i="5"/>
  <c r="W28" i="5"/>
  <c r="Q28" i="5"/>
  <c r="K28" i="5"/>
  <c r="I28" i="5"/>
  <c r="G28" i="5"/>
  <c r="E28" i="5"/>
  <c r="C28" i="5"/>
  <c r="W21" i="5"/>
  <c r="Q21" i="5"/>
  <c r="K21" i="5"/>
  <c r="I21" i="5"/>
  <c r="G21" i="5"/>
  <c r="E21" i="5"/>
  <c r="C21" i="5"/>
  <c r="W13" i="5"/>
  <c r="Q13" i="5"/>
  <c r="K13" i="5"/>
  <c r="I13" i="5"/>
  <c r="G13" i="5"/>
  <c r="E13" i="5"/>
  <c r="C13" i="5"/>
  <c r="W41" i="4"/>
  <c r="Q41" i="4"/>
  <c r="K41" i="4"/>
  <c r="I41" i="4"/>
  <c r="G41" i="4"/>
  <c r="E41" i="4"/>
  <c r="C41" i="4"/>
  <c r="W30" i="4"/>
  <c r="Q30" i="4"/>
  <c r="K30" i="4"/>
  <c r="I30" i="4"/>
  <c r="G30" i="4"/>
  <c r="E30" i="4"/>
  <c r="C30" i="4"/>
  <c r="W22" i="4"/>
  <c r="Q22" i="4"/>
  <c r="K22" i="4"/>
  <c r="I22" i="4"/>
  <c r="G22" i="4"/>
  <c r="E22" i="4"/>
  <c r="C22" i="4"/>
  <c r="W13" i="4"/>
  <c r="Q13" i="4"/>
  <c r="K13" i="4"/>
  <c r="I13" i="4"/>
  <c r="G13" i="4"/>
  <c r="C13" i="4"/>
  <c r="W39" i="3"/>
  <c r="Q39" i="3"/>
  <c r="K39" i="3"/>
  <c r="I39" i="3"/>
  <c r="G39" i="3"/>
  <c r="E39" i="3"/>
  <c r="C39" i="3"/>
  <c r="W32" i="3"/>
  <c r="Q32" i="3"/>
  <c r="K32" i="3"/>
  <c r="I32" i="3"/>
  <c r="G32" i="3"/>
  <c r="E32" i="3"/>
  <c r="C32" i="3"/>
  <c r="W23" i="3"/>
  <c r="Q23" i="3"/>
  <c r="K23" i="3"/>
  <c r="I23" i="3"/>
  <c r="G23" i="3"/>
  <c r="E23" i="3"/>
  <c r="C23" i="3"/>
  <c r="W13" i="3"/>
  <c r="Q13" i="3"/>
  <c r="K13" i="3"/>
  <c r="I13" i="3"/>
  <c r="G13" i="3"/>
  <c r="E13" i="3"/>
  <c r="C13" i="3"/>
  <c r="W56" i="2"/>
  <c r="Q56" i="2"/>
  <c r="K56" i="2"/>
  <c r="I56" i="2"/>
  <c r="G56" i="2"/>
  <c r="E56" i="2"/>
  <c r="C56" i="2"/>
  <c r="W40" i="2"/>
  <c r="Q40" i="2"/>
  <c r="K40" i="2"/>
  <c r="I40" i="2"/>
  <c r="G40" i="2"/>
  <c r="E40" i="2"/>
  <c r="C40" i="2"/>
  <c r="W35" i="2"/>
  <c r="Q35" i="2"/>
  <c r="K35" i="2"/>
  <c r="I35" i="2"/>
  <c r="G35" i="2"/>
  <c r="E35" i="2"/>
  <c r="C35" i="2"/>
  <c r="W13" i="2"/>
  <c r="Q13" i="2"/>
  <c r="K13" i="2"/>
  <c r="I13" i="2"/>
  <c r="G13" i="2"/>
  <c r="F13" i="40" s="1"/>
  <c r="E13" i="2"/>
  <c r="C13" i="2"/>
  <c r="W58" i="1"/>
  <c r="W10" i="33" s="1"/>
  <c r="Q58" i="1"/>
  <c r="Q10" i="33" s="1"/>
  <c r="K58" i="1"/>
  <c r="K10" i="33" s="1"/>
  <c r="I58" i="1"/>
  <c r="I10" i="33" s="1"/>
  <c r="E58" i="1"/>
  <c r="E10" i="33" s="1"/>
  <c r="C58" i="1"/>
  <c r="C10" i="33" s="1"/>
  <c r="G58" i="1"/>
  <c r="G10" i="33" s="1"/>
  <c r="W54" i="1"/>
  <c r="Q54" i="1"/>
  <c r="Q9" i="33" s="1"/>
  <c r="K54" i="1"/>
  <c r="K9" i="33" s="1"/>
  <c r="I54" i="1"/>
  <c r="I9" i="33" s="1"/>
  <c r="E54" i="1"/>
  <c r="E9" i="33" s="1"/>
  <c r="C54" i="1"/>
  <c r="C9" i="33" s="1"/>
  <c r="G54" i="1"/>
  <c r="G9" i="33" s="1"/>
  <c r="W49" i="1"/>
  <c r="J5" i="40" s="1"/>
  <c r="Q49" i="1"/>
  <c r="K49" i="1"/>
  <c r="K8" i="33" s="1"/>
  <c r="I49" i="1"/>
  <c r="I8" i="33" s="1"/>
  <c r="C49" i="1"/>
  <c r="E49" i="1"/>
  <c r="G49" i="1"/>
  <c r="W42" i="1"/>
  <c r="J4" i="40" s="1"/>
  <c r="Q42" i="1"/>
  <c r="K42" i="1"/>
  <c r="K7" i="33" s="1"/>
  <c r="I42" i="1"/>
  <c r="I7" i="33" s="1"/>
  <c r="G42" i="1"/>
  <c r="E42" i="1"/>
  <c r="C42" i="1"/>
  <c r="W32" i="1"/>
  <c r="J3" i="40" s="1"/>
  <c r="Q32" i="1"/>
  <c r="K32" i="1"/>
  <c r="K6" i="33" s="1"/>
  <c r="I32" i="1"/>
  <c r="I6" i="33" s="1"/>
  <c r="C32" i="1"/>
  <c r="E32" i="1"/>
  <c r="G32" i="1"/>
  <c r="AE81" i="10" l="1"/>
  <c r="AE11" i="32" s="1"/>
  <c r="E21" i="34"/>
  <c r="E19" i="34"/>
  <c r="AE44" i="17"/>
  <c r="C21" i="34"/>
  <c r="C18" i="34"/>
  <c r="E22" i="34"/>
  <c r="B22" i="37"/>
  <c r="J22" i="37"/>
  <c r="E18" i="34"/>
  <c r="Q29" i="27"/>
  <c r="Q33" i="27" s="1"/>
  <c r="W29" i="27" s="1"/>
  <c r="W33" i="27" s="1"/>
  <c r="K29" i="27"/>
  <c r="K33" i="27" s="1"/>
  <c r="I29" i="27"/>
  <c r="I33" i="27" s="1"/>
  <c r="W33" i="30"/>
  <c r="U27" i="34"/>
  <c r="Q26" i="31"/>
  <c r="Q30" i="31" s="1"/>
  <c r="W26" i="31" s="1"/>
  <c r="K26" i="31"/>
  <c r="K30" i="31" s="1"/>
  <c r="I26" i="31"/>
  <c r="I30" i="31" s="1"/>
  <c r="C5" i="32"/>
  <c r="C96" i="10"/>
  <c r="F24" i="37"/>
  <c r="F33" i="40"/>
  <c r="J13" i="40"/>
  <c r="E5" i="32"/>
  <c r="E96" i="10"/>
  <c r="G96" i="10"/>
  <c r="D14" i="40"/>
  <c r="E24" i="33"/>
  <c r="D15" i="40"/>
  <c r="I5" i="32"/>
  <c r="I16" i="32" s="1"/>
  <c r="I96" i="10"/>
  <c r="D22" i="37"/>
  <c r="W33" i="29"/>
  <c r="S27" i="34"/>
  <c r="C20" i="34"/>
  <c r="G24" i="33"/>
  <c r="F15" i="40"/>
  <c r="F22" i="37"/>
  <c r="J24" i="37"/>
  <c r="I29" i="30"/>
  <c r="I33" i="30" s="1"/>
  <c r="B14" i="40"/>
  <c r="F14" i="40"/>
  <c r="K96" i="10"/>
  <c r="K29" i="30"/>
  <c r="K33" i="30" s="1"/>
  <c r="AC21" i="8"/>
  <c r="AE21" i="8" s="1"/>
  <c r="AE24" i="33" s="1"/>
  <c r="G65" i="1"/>
  <c r="W96" i="10"/>
  <c r="E65" i="1"/>
  <c r="AC13" i="6"/>
  <c r="AE13" i="6" s="1"/>
  <c r="C19" i="34"/>
  <c r="J14" i="40"/>
  <c r="W24" i="33"/>
  <c r="J15" i="40"/>
  <c r="AA21" i="8"/>
  <c r="AA24" i="33" s="1"/>
  <c r="B24" i="37"/>
  <c r="AC32" i="3"/>
  <c r="AE32" i="3" s="1"/>
  <c r="AC13" i="14"/>
  <c r="AE13" i="14" s="1"/>
  <c r="AC26" i="33"/>
  <c r="AC31" i="14"/>
  <c r="AE31" i="14" s="1"/>
  <c r="D24" i="37"/>
  <c r="C65" i="1"/>
  <c r="B13" i="40"/>
  <c r="AC25" i="18"/>
  <c r="AE25" i="18" s="1"/>
  <c r="D13" i="40"/>
  <c r="W19" i="26"/>
  <c r="AE15" i="26"/>
  <c r="AA15" i="26"/>
  <c r="W65" i="1"/>
  <c r="K65" i="1"/>
  <c r="I65" i="1"/>
  <c r="J6" i="40"/>
  <c r="J9" i="40" s="1"/>
  <c r="S65" i="1"/>
  <c r="U65" i="1"/>
  <c r="AC46" i="17"/>
  <c r="AC26" i="32" s="1"/>
  <c r="AC41" i="14"/>
  <c r="AE41" i="14" s="1"/>
  <c r="AC12" i="12"/>
  <c r="AE12" i="12" s="1"/>
  <c r="O5" i="32"/>
  <c r="O16" i="32" s="1"/>
  <c r="O96" i="10"/>
  <c r="Q5" i="32"/>
  <c r="Q24" i="33"/>
  <c r="H15" i="40"/>
  <c r="AE5" i="8"/>
  <c r="AC21" i="7"/>
  <c r="AE21" i="7" s="1"/>
  <c r="AC43" i="6"/>
  <c r="AE43" i="6" s="1"/>
  <c r="H13" i="40"/>
  <c r="Q65" i="1"/>
  <c r="AC30" i="4"/>
  <c r="AC22" i="4"/>
  <c r="M65" i="1"/>
  <c r="H14" i="40"/>
  <c r="O5" i="33"/>
  <c r="O13" i="33" s="1"/>
  <c r="O65" i="1"/>
  <c r="C6" i="33"/>
  <c r="B3" i="40"/>
  <c r="C7" i="33"/>
  <c r="B4" i="40"/>
  <c r="AE57" i="1"/>
  <c r="G7" i="33"/>
  <c r="F4" i="40"/>
  <c r="E7" i="33"/>
  <c r="D4" i="40"/>
  <c r="F6" i="40"/>
  <c r="E6" i="33"/>
  <c r="D3" i="40"/>
  <c r="D6" i="40"/>
  <c r="G8" i="33"/>
  <c r="F5" i="40"/>
  <c r="E8" i="33"/>
  <c r="D5" i="40"/>
  <c r="B6" i="40"/>
  <c r="G6" i="33"/>
  <c r="F3" i="40"/>
  <c r="C8" i="33"/>
  <c r="B5" i="40"/>
  <c r="I33" i="22"/>
  <c r="C33" i="22"/>
  <c r="C39" i="22" s="1"/>
  <c r="E35" i="22" s="1"/>
  <c r="G31" i="23"/>
  <c r="K31" i="23"/>
  <c r="K12" i="34"/>
  <c r="I31" i="23"/>
  <c r="I12" i="34"/>
  <c r="E31" i="23"/>
  <c r="C31" i="23"/>
  <c r="C37" i="23" s="1"/>
  <c r="E33" i="23" s="1"/>
  <c r="E37" i="23" s="1"/>
  <c r="G33" i="23" s="1"/>
  <c r="W31" i="23"/>
  <c r="AA18" i="23"/>
  <c r="AA23" i="25"/>
  <c r="AA48" i="25"/>
  <c r="AC25" i="10"/>
  <c r="AE25" i="10" s="1"/>
  <c r="AE5" i="32" s="1"/>
  <c r="AE69" i="10"/>
  <c r="AE10" i="32" s="1"/>
  <c r="J7" i="37"/>
  <c r="J18" i="37" s="1"/>
  <c r="F23" i="37"/>
  <c r="AE41" i="18"/>
  <c r="B23" i="37"/>
  <c r="AC79" i="11"/>
  <c r="AE79" i="11" s="1"/>
  <c r="D23" i="37"/>
  <c r="AE82" i="11"/>
  <c r="AE23" i="25"/>
  <c r="AE27" i="23"/>
  <c r="AE10" i="19"/>
  <c r="AE28" i="32" s="1"/>
  <c r="AE25" i="17"/>
  <c r="AE29" i="16"/>
  <c r="AE6" i="16"/>
  <c r="AC34" i="16"/>
  <c r="AC25" i="32" s="1"/>
  <c r="AE29" i="14"/>
  <c r="AC25" i="14"/>
  <c r="AE12" i="14"/>
  <c r="C24" i="33"/>
  <c r="B15" i="40"/>
  <c r="AC49" i="10"/>
  <c r="AC8" i="32" s="1"/>
  <c r="Q6" i="32"/>
  <c r="H24" i="37"/>
  <c r="AC14" i="11"/>
  <c r="AE14" i="11" s="1"/>
  <c r="H23" i="37"/>
  <c r="H22" i="37"/>
  <c r="AC54" i="1"/>
  <c r="AC9" i="33" s="1"/>
  <c r="AC14" i="7"/>
  <c r="AC31" i="7" s="1"/>
  <c r="AC23" i="33" s="1"/>
  <c r="AC49" i="1"/>
  <c r="AC8" i="33" s="1"/>
  <c r="AE45" i="1"/>
  <c r="Q8" i="33"/>
  <c r="H5" i="40"/>
  <c r="AC33" i="6"/>
  <c r="AE33" i="6" s="1"/>
  <c r="AC22" i="6"/>
  <c r="AE36" i="6"/>
  <c r="AE18" i="6"/>
  <c r="AE12" i="6"/>
  <c r="AC36" i="5"/>
  <c r="AE36" i="5" s="1"/>
  <c r="AC28" i="5"/>
  <c r="AE28" i="5" s="1"/>
  <c r="AC21" i="5"/>
  <c r="AE21" i="5" s="1"/>
  <c r="AC13" i="5"/>
  <c r="AE13" i="5" s="1"/>
  <c r="AE26" i="5"/>
  <c r="AC42" i="1"/>
  <c r="AC7" i="33" s="1"/>
  <c r="Q7" i="33"/>
  <c r="H4" i="40"/>
  <c r="AE18" i="4"/>
  <c r="AC41" i="4"/>
  <c r="AE41" i="4" s="1"/>
  <c r="AC13" i="4"/>
  <c r="AE13" i="4" s="1"/>
  <c r="AC39" i="3"/>
  <c r="AE39" i="3" s="1"/>
  <c r="AC23" i="3"/>
  <c r="AE23" i="3" s="1"/>
  <c r="Q6" i="33"/>
  <c r="H3" i="40"/>
  <c r="AC56" i="2"/>
  <c r="AE56" i="2" s="1"/>
  <c r="J23" i="37"/>
  <c r="Q5" i="33"/>
  <c r="H6" i="40"/>
  <c r="AC27" i="33"/>
  <c r="AC13" i="9"/>
  <c r="AE13" i="9" s="1"/>
  <c r="AC13" i="2"/>
  <c r="AE44" i="2"/>
  <c r="AC19" i="1"/>
  <c r="C6" i="32"/>
  <c r="B7" i="37"/>
  <c r="B18" i="37" s="1"/>
  <c r="E6" i="32"/>
  <c r="D7" i="37"/>
  <c r="D18" i="37" s="1"/>
  <c r="G6" i="32"/>
  <c r="F7" i="37"/>
  <c r="F18" i="37" s="1"/>
  <c r="AA24" i="24"/>
  <c r="AE24" i="24"/>
  <c r="AA53" i="24"/>
  <c r="AE53" i="24"/>
  <c r="AC32" i="1"/>
  <c r="AC6" i="33" s="1"/>
  <c r="AA29" i="22"/>
  <c r="AE29" i="22"/>
  <c r="AA14" i="22"/>
  <c r="Q33" i="22"/>
  <c r="AE14" i="22"/>
  <c r="AE48" i="25"/>
  <c r="AC40" i="2"/>
  <c r="AE40" i="2" s="1"/>
  <c r="AC35" i="2"/>
  <c r="AE35" i="2" s="1"/>
  <c r="AE35" i="1"/>
  <c r="AC28" i="13"/>
  <c r="AE28" i="13" s="1"/>
  <c r="AC43" i="13"/>
  <c r="AE43" i="13" s="1"/>
  <c r="AC49" i="13"/>
  <c r="AE49" i="13" s="1"/>
  <c r="AC33" i="13"/>
  <c r="AE33" i="13" s="1"/>
  <c r="AC15" i="13"/>
  <c r="AE15" i="13" s="1"/>
  <c r="AC42" i="11"/>
  <c r="AE6" i="11"/>
  <c r="Q56" i="10"/>
  <c r="Q9" i="32" s="1"/>
  <c r="AC55" i="10"/>
  <c r="AC56" i="10" s="1"/>
  <c r="AC9" i="32" s="1"/>
  <c r="AE36" i="10"/>
  <c r="AC13" i="3"/>
  <c r="AE13" i="3" s="1"/>
  <c r="AE11" i="12"/>
  <c r="AE6" i="19"/>
  <c r="AE8" i="19"/>
  <c r="Q29" i="28"/>
  <c r="Q33" i="28" s="1"/>
  <c r="W29" i="28" s="1"/>
  <c r="K29" i="28"/>
  <c r="K33" i="28" s="1"/>
  <c r="I29" i="28"/>
  <c r="I33" i="28" s="1"/>
  <c r="Q21" i="26"/>
  <c r="Q25" i="26" s="1"/>
  <c r="W21" i="26" s="1"/>
  <c r="W25" i="26" s="1"/>
  <c r="I21" i="26"/>
  <c r="I25" i="26" s="1"/>
  <c r="K21" i="26"/>
  <c r="K25" i="26" s="1"/>
  <c r="E57" i="24"/>
  <c r="AA13" i="9"/>
  <c r="AA29" i="7"/>
  <c r="AE29" i="7"/>
  <c r="AE25" i="7"/>
  <c r="AA25" i="7"/>
  <c r="AA21" i="7"/>
  <c r="AA14" i="7"/>
  <c r="AA43" i="6"/>
  <c r="AA33" i="6"/>
  <c r="AE22" i="6"/>
  <c r="AA22" i="6"/>
  <c r="AA13" i="6"/>
  <c r="AA36" i="5"/>
  <c r="AA28" i="5"/>
  <c r="AA21" i="5"/>
  <c r="AA13" i="5"/>
  <c r="AA41" i="4"/>
  <c r="AA30" i="4"/>
  <c r="AE30" i="4"/>
  <c r="AE22" i="4"/>
  <c r="AA22" i="4"/>
  <c r="AA13" i="4"/>
  <c r="AE30" i="3"/>
  <c r="AA39" i="3"/>
  <c r="AA32" i="3"/>
  <c r="AA23" i="3"/>
  <c r="AA13" i="3"/>
  <c r="AA56" i="2"/>
  <c r="AA40" i="2"/>
  <c r="AA35" i="2"/>
  <c r="AA13" i="2"/>
  <c r="AE58" i="1"/>
  <c r="AE10" i="33" s="1"/>
  <c r="AA58" i="1"/>
  <c r="AA10" i="33" s="1"/>
  <c r="W9" i="33"/>
  <c r="AA54" i="1"/>
  <c r="AA9" i="33" s="1"/>
  <c r="W8" i="33"/>
  <c r="AA49" i="1"/>
  <c r="AA8" i="33" s="1"/>
  <c r="W7" i="33"/>
  <c r="AA42" i="1"/>
  <c r="AA7" i="33" s="1"/>
  <c r="AE22" i="1"/>
  <c r="W6" i="33"/>
  <c r="AA32" i="1"/>
  <c r="AA6" i="33" s="1"/>
  <c r="AA13" i="20"/>
  <c r="AA30" i="32" s="1"/>
  <c r="AE13" i="20"/>
  <c r="AE30" i="32" s="1"/>
  <c r="W27" i="32"/>
  <c r="AA49" i="18"/>
  <c r="AA27" i="32" s="1"/>
  <c r="AE34" i="14"/>
  <c r="AC20" i="12"/>
  <c r="AE32" i="16"/>
  <c r="AA32" i="16"/>
  <c r="AE26" i="16"/>
  <c r="AA26" i="16"/>
  <c r="AA22" i="16"/>
  <c r="AE22" i="16"/>
  <c r="AE14" i="16"/>
  <c r="AA14" i="16"/>
  <c r="AE47" i="14"/>
  <c r="AA47" i="14"/>
  <c r="AA41" i="14"/>
  <c r="AA31" i="14"/>
  <c r="AA25" i="14"/>
  <c r="AA13" i="14"/>
  <c r="AA49" i="13"/>
  <c r="AA43" i="13"/>
  <c r="AA33" i="13"/>
  <c r="AA28" i="13"/>
  <c r="AA15" i="13"/>
  <c r="AE28" i="12"/>
  <c r="AA28" i="12"/>
  <c r="AA24" i="12"/>
  <c r="AE24" i="12"/>
  <c r="AA20" i="12"/>
  <c r="AA12" i="12"/>
  <c r="AA83" i="11"/>
  <c r="AE83" i="11"/>
  <c r="AA79" i="11"/>
  <c r="AA47" i="11"/>
  <c r="AE47" i="11"/>
  <c r="AA42" i="11"/>
  <c r="AA14" i="11"/>
  <c r="AC90" i="10"/>
  <c r="AE89" i="10"/>
  <c r="W9" i="32"/>
  <c r="AA56" i="10"/>
  <c r="AA9" i="32" s="1"/>
  <c r="W8" i="32"/>
  <c r="W7" i="32"/>
  <c r="AE37" i="10"/>
  <c r="AE7" i="32" s="1"/>
  <c r="AA37" i="10"/>
  <c r="AA7" i="32" s="1"/>
  <c r="W6" i="32"/>
  <c r="AA33" i="10"/>
  <c r="AA6" i="32" s="1"/>
  <c r="AE33" i="10"/>
  <c r="AE6" i="32" s="1"/>
  <c r="AE8" i="10"/>
  <c r="AA25" i="10"/>
  <c r="AA5" i="32" s="1"/>
  <c r="AE35" i="21"/>
  <c r="AA35" i="21"/>
  <c r="W39" i="21"/>
  <c r="AE18" i="21"/>
  <c r="AA18" i="21"/>
  <c r="C39" i="21"/>
  <c r="C45" i="21" s="1"/>
  <c r="E41" i="21" s="1"/>
  <c r="K34" i="16"/>
  <c r="K25" i="32" s="1"/>
  <c r="W34" i="16"/>
  <c r="Q57" i="24"/>
  <c r="Q39" i="21"/>
  <c r="G39" i="21"/>
  <c r="I39" i="21"/>
  <c r="K39" i="21"/>
  <c r="O51" i="13"/>
  <c r="O23" i="32" s="1"/>
  <c r="K51" i="13"/>
  <c r="K23" i="32" s="1"/>
  <c r="W30" i="12"/>
  <c r="K30" i="12"/>
  <c r="K22" i="32" s="1"/>
  <c r="C85" i="11"/>
  <c r="C21" i="32" s="1"/>
  <c r="W85" i="11"/>
  <c r="G85" i="11"/>
  <c r="G21" i="32" s="1"/>
  <c r="K85" i="11"/>
  <c r="K21" i="32" s="1"/>
  <c r="K5" i="32"/>
  <c r="K16" i="32" s="1"/>
  <c r="W5" i="32"/>
  <c r="G5" i="32"/>
  <c r="E45" i="6"/>
  <c r="E22" i="33" s="1"/>
  <c r="K45" i="6"/>
  <c r="K22" i="33" s="1"/>
  <c r="U13" i="33"/>
  <c r="K13" i="33"/>
  <c r="S29" i="33"/>
  <c r="U29" i="33"/>
  <c r="M29" i="33"/>
  <c r="S13" i="33"/>
  <c r="M13" i="33"/>
  <c r="I13" i="33"/>
  <c r="Q34" i="16"/>
  <c r="Q25" i="32" s="1"/>
  <c r="I34" i="16"/>
  <c r="I25" i="32" s="1"/>
  <c r="E39" i="21"/>
  <c r="E45" i="21" s="1"/>
  <c r="G41" i="21" s="1"/>
  <c r="C57" i="24"/>
  <c r="C63" i="24" s="1"/>
  <c r="E59" i="24" s="1"/>
  <c r="C34" i="16"/>
  <c r="C25" i="32" s="1"/>
  <c r="O49" i="14"/>
  <c r="O24" i="32" s="1"/>
  <c r="Q30" i="12"/>
  <c r="Q22" i="32" s="1"/>
  <c r="O30" i="12"/>
  <c r="O22" i="32" s="1"/>
  <c r="I30" i="12"/>
  <c r="I22" i="32" s="1"/>
  <c r="Q85" i="11"/>
  <c r="O85" i="11"/>
  <c r="O21" i="32" s="1"/>
  <c r="I85" i="11"/>
  <c r="I21" i="32" s="1"/>
  <c r="O31" i="7"/>
  <c r="O23" i="33" s="1"/>
  <c r="O45" i="6"/>
  <c r="O22" i="33" s="1"/>
  <c r="O38" i="5"/>
  <c r="O21" i="33" s="1"/>
  <c r="I38" i="5"/>
  <c r="I21" i="33" s="1"/>
  <c r="O43" i="4"/>
  <c r="O20" i="33" s="1"/>
  <c r="O41" i="3"/>
  <c r="O19" i="33" s="1"/>
  <c r="O58" i="2"/>
  <c r="O18" i="33" s="1"/>
  <c r="W52" i="25"/>
  <c r="I52" i="25"/>
  <c r="C52" i="25"/>
  <c r="C58" i="25" s="1"/>
  <c r="E54" i="25" s="1"/>
  <c r="G52" i="25"/>
  <c r="K52" i="25"/>
  <c r="E52" i="25"/>
  <c r="Q52" i="25"/>
  <c r="G57" i="24"/>
  <c r="W57" i="24"/>
  <c r="K57" i="24"/>
  <c r="I57" i="24"/>
  <c r="G33" i="22"/>
  <c r="E33" i="22"/>
  <c r="G34" i="16"/>
  <c r="G25" i="32" s="1"/>
  <c r="G30" i="12"/>
  <c r="G22" i="32" s="1"/>
  <c r="E34" i="16"/>
  <c r="E25" i="32" s="1"/>
  <c r="K49" i="14"/>
  <c r="K24" i="32" s="1"/>
  <c r="W49" i="14"/>
  <c r="G49" i="14"/>
  <c r="G24" i="32" s="1"/>
  <c r="Q49" i="14"/>
  <c r="Q24" i="32" s="1"/>
  <c r="I49" i="14"/>
  <c r="I24" i="32" s="1"/>
  <c r="C49" i="14"/>
  <c r="C24" i="32" s="1"/>
  <c r="E49" i="14"/>
  <c r="E24" i="32" s="1"/>
  <c r="E30" i="12"/>
  <c r="E22" i="32" s="1"/>
  <c r="E85" i="11"/>
  <c r="E21" i="32" s="1"/>
  <c r="Q51" i="13"/>
  <c r="Q23" i="32" s="1"/>
  <c r="W51" i="13"/>
  <c r="C51" i="13"/>
  <c r="C23" i="32" s="1"/>
  <c r="E51" i="13"/>
  <c r="E23" i="32" s="1"/>
  <c r="G51" i="13"/>
  <c r="G23" i="32" s="1"/>
  <c r="I51" i="13"/>
  <c r="I23" i="32" s="1"/>
  <c r="C30" i="12"/>
  <c r="C22" i="32" s="1"/>
  <c r="C31" i="7"/>
  <c r="C23" i="33" s="1"/>
  <c r="I43" i="4"/>
  <c r="I20" i="33" s="1"/>
  <c r="C45" i="6"/>
  <c r="C22" i="33" s="1"/>
  <c r="C41" i="3"/>
  <c r="C19" i="33" s="1"/>
  <c r="C58" i="2"/>
  <c r="C18" i="33" s="1"/>
  <c r="Q31" i="7"/>
  <c r="Q23" i="33" s="1"/>
  <c r="E31" i="7"/>
  <c r="E23" i="33" s="1"/>
  <c r="G31" i="7"/>
  <c r="G23" i="33" s="1"/>
  <c r="K31" i="7"/>
  <c r="K23" i="33" s="1"/>
  <c r="W31" i="7"/>
  <c r="I31" i="7"/>
  <c r="I23" i="33" s="1"/>
  <c r="I45" i="6"/>
  <c r="I22" i="33" s="1"/>
  <c r="Q45" i="6"/>
  <c r="Q22" i="33" s="1"/>
  <c r="W45" i="6"/>
  <c r="G45" i="6"/>
  <c r="G22" i="33" s="1"/>
  <c r="W38" i="5"/>
  <c r="C38" i="5"/>
  <c r="C21" i="33" s="1"/>
  <c r="G38" i="5"/>
  <c r="G21" i="33" s="1"/>
  <c r="K38" i="5"/>
  <c r="K21" i="33" s="1"/>
  <c r="Q38" i="5"/>
  <c r="Q21" i="33" s="1"/>
  <c r="E38" i="5"/>
  <c r="E21" i="33" s="1"/>
  <c r="E43" i="4"/>
  <c r="E20" i="33" s="1"/>
  <c r="G43" i="4"/>
  <c r="G20" i="33" s="1"/>
  <c r="C43" i="4"/>
  <c r="C20" i="33" s="1"/>
  <c r="K43" i="4"/>
  <c r="K20" i="33" s="1"/>
  <c r="Q43" i="4"/>
  <c r="Q20" i="33" s="1"/>
  <c r="W43" i="4"/>
  <c r="I41" i="3"/>
  <c r="I19" i="33" s="1"/>
  <c r="K41" i="3"/>
  <c r="K19" i="33" s="1"/>
  <c r="W41" i="3"/>
  <c r="Q41" i="3"/>
  <c r="Q19" i="33" s="1"/>
  <c r="E41" i="3"/>
  <c r="E19" i="33" s="1"/>
  <c r="G41" i="3"/>
  <c r="G19" i="33" s="1"/>
  <c r="K58" i="2"/>
  <c r="K18" i="33" s="1"/>
  <c r="Q58" i="2"/>
  <c r="Q18" i="33" s="1"/>
  <c r="E58" i="2"/>
  <c r="E18" i="33" s="1"/>
  <c r="W58" i="2"/>
  <c r="G58" i="2"/>
  <c r="G18" i="33" s="1"/>
  <c r="I58" i="2"/>
  <c r="I18" i="33" s="1"/>
  <c r="AC49" i="14" l="1"/>
  <c r="AC24" i="32" s="1"/>
  <c r="AE54" i="1"/>
  <c r="AE9" i="33" s="1"/>
  <c r="AE25" i="14"/>
  <c r="AC30" i="12"/>
  <c r="AC22" i="32" s="1"/>
  <c r="H9" i="40"/>
  <c r="D20" i="40"/>
  <c r="E16" i="32"/>
  <c r="W30" i="31"/>
  <c r="W27" i="34"/>
  <c r="W31" i="34" s="1"/>
  <c r="AC24" i="33"/>
  <c r="F20" i="40"/>
  <c r="B33" i="40"/>
  <c r="B20" i="40"/>
  <c r="H20" i="40"/>
  <c r="J20" i="40"/>
  <c r="J27" i="40" s="1"/>
  <c r="F9" i="40"/>
  <c r="B9" i="40"/>
  <c r="D9" i="40"/>
  <c r="J33" i="40"/>
  <c r="F28" i="37"/>
  <c r="F42" i="37" s="1"/>
  <c r="D28" i="37"/>
  <c r="D42" i="37" s="1"/>
  <c r="G16" i="32"/>
  <c r="W16" i="32"/>
  <c r="AC45" i="6"/>
  <c r="AC22" i="33" s="1"/>
  <c r="E39" i="22"/>
  <c r="G35" i="22" s="1"/>
  <c r="G39" i="22" s="1"/>
  <c r="W33" i="28"/>
  <c r="Q27" i="34"/>
  <c r="G13" i="33"/>
  <c r="C13" i="33"/>
  <c r="C16" i="32"/>
  <c r="Q16" i="32"/>
  <c r="D33" i="40"/>
  <c r="G37" i="23"/>
  <c r="Q33" i="23" s="1"/>
  <c r="Q37" i="23" s="1"/>
  <c r="W33" i="23" s="1"/>
  <c r="E58" i="25"/>
  <c r="G54" i="25" s="1"/>
  <c r="G58" i="25" s="1"/>
  <c r="J28" i="37"/>
  <c r="AC49" i="18"/>
  <c r="B28" i="37"/>
  <c r="B42" i="37" s="1"/>
  <c r="E13" i="33"/>
  <c r="Q96" i="10"/>
  <c r="Q14" i="34" s="1"/>
  <c r="AE49" i="10"/>
  <c r="AE8" i="32" s="1"/>
  <c r="AC96" i="10"/>
  <c r="AC5" i="32"/>
  <c r="AE14" i="7"/>
  <c r="H33" i="40"/>
  <c r="AC38" i="5"/>
  <c r="AC21" i="33" s="1"/>
  <c r="Q13" i="33"/>
  <c r="AC43" i="4"/>
  <c r="AC20" i="33" s="1"/>
  <c r="AC41" i="3"/>
  <c r="AC19" i="33" s="1"/>
  <c r="AC5" i="33"/>
  <c r="AC13" i="33" s="1"/>
  <c r="AC65" i="1"/>
  <c r="F27" i="40"/>
  <c r="AE42" i="1"/>
  <c r="AE7" i="33" s="1"/>
  <c r="B27" i="40"/>
  <c r="AE49" i="1"/>
  <c r="AE8" i="33" s="1"/>
  <c r="AC85" i="11"/>
  <c r="AC21" i="32" s="1"/>
  <c r="H7" i="37"/>
  <c r="H18" i="37" s="1"/>
  <c r="AC51" i="13"/>
  <c r="AC23" i="32" s="1"/>
  <c r="AE20" i="12"/>
  <c r="H28" i="37"/>
  <c r="H42" i="37" s="1"/>
  <c r="Q21" i="32"/>
  <c r="AE32" i="1"/>
  <c r="AE6" i="33" s="1"/>
  <c r="AE19" i="1"/>
  <c r="AE5" i="33" s="1"/>
  <c r="AC58" i="2"/>
  <c r="AC18" i="33" s="1"/>
  <c r="AE13" i="2"/>
  <c r="AE42" i="11"/>
  <c r="AE56" i="10"/>
  <c r="AE9" i="32" s="1"/>
  <c r="W13" i="33"/>
  <c r="E63" i="24"/>
  <c r="G59" i="24" s="1"/>
  <c r="G63" i="24" s="1"/>
  <c r="M14" i="34"/>
  <c r="S14" i="34"/>
  <c r="U14" i="34"/>
  <c r="C14" i="34"/>
  <c r="G14" i="34"/>
  <c r="K14" i="34"/>
  <c r="I14" i="34"/>
  <c r="O14" i="34"/>
  <c r="E14" i="34"/>
  <c r="W23" i="33"/>
  <c r="AE31" i="7"/>
  <c r="AE23" i="33" s="1"/>
  <c r="AA31" i="7"/>
  <c r="AA23" i="33" s="1"/>
  <c r="W22" i="33"/>
  <c r="AA45" i="6"/>
  <c r="AA22" i="33" s="1"/>
  <c r="W21" i="33"/>
  <c r="AA38" i="5"/>
  <c r="AA21" i="33" s="1"/>
  <c r="W20" i="33"/>
  <c r="AA43" i="4"/>
  <c r="AA20" i="33" s="1"/>
  <c r="W19" i="33"/>
  <c r="AA41" i="3"/>
  <c r="AA19" i="33" s="1"/>
  <c r="W18" i="33"/>
  <c r="AA58" i="2"/>
  <c r="AA18" i="33" s="1"/>
  <c r="AA65" i="1"/>
  <c r="W25" i="32"/>
  <c r="AA34" i="16"/>
  <c r="AA25" i="32" s="1"/>
  <c r="AE34" i="16"/>
  <c r="AE25" i="32" s="1"/>
  <c r="W24" i="32"/>
  <c r="AE49" i="14"/>
  <c r="AE24" i="32" s="1"/>
  <c r="AA49" i="14"/>
  <c r="AA24" i="32" s="1"/>
  <c r="W23" i="32"/>
  <c r="AA51" i="13"/>
  <c r="AA23" i="32" s="1"/>
  <c r="W22" i="32"/>
  <c r="AA30" i="12"/>
  <c r="AA22" i="32" s="1"/>
  <c r="W21" i="32"/>
  <c r="AA85" i="11"/>
  <c r="AA21" i="32" s="1"/>
  <c r="AC13" i="32"/>
  <c r="AE90" i="10"/>
  <c r="AE13" i="32" s="1"/>
  <c r="K33" i="23"/>
  <c r="K37" i="23" s="1"/>
  <c r="I33" i="23"/>
  <c r="I37" i="23" s="1"/>
  <c r="G45" i="21"/>
  <c r="S33" i="33"/>
  <c r="U33" i="33"/>
  <c r="M33" i="33"/>
  <c r="C29" i="33"/>
  <c r="O29" i="33"/>
  <c r="I29" i="33"/>
  <c r="G29" i="33"/>
  <c r="E29" i="33"/>
  <c r="Q29" i="33"/>
  <c r="K29" i="33"/>
  <c r="C46" i="17"/>
  <c r="C26" i="32" s="1"/>
  <c r="C32" i="32" s="1"/>
  <c r="E46" i="17"/>
  <c r="E26" i="32" s="1"/>
  <c r="E32" i="32" s="1"/>
  <c r="G46" i="17"/>
  <c r="G26" i="32" s="1"/>
  <c r="G32" i="32" s="1"/>
  <c r="I46" i="17"/>
  <c r="I26" i="32" s="1"/>
  <c r="I32" i="32" s="1"/>
  <c r="K46" i="17"/>
  <c r="K26" i="32" s="1"/>
  <c r="K32" i="32" s="1"/>
  <c r="Q46" i="17"/>
  <c r="Q26" i="32" s="1"/>
  <c r="W46" i="17"/>
  <c r="M46" i="17"/>
  <c r="M26" i="32" s="1"/>
  <c r="M32" i="32" s="1"/>
  <c r="O46" i="17"/>
  <c r="O26" i="32" s="1"/>
  <c r="O32" i="32" s="1"/>
  <c r="S46" i="17"/>
  <c r="S26" i="32" s="1"/>
  <c r="S32" i="32" s="1"/>
  <c r="U46" i="17"/>
  <c r="U26" i="32" s="1"/>
  <c r="U32" i="32" s="1"/>
  <c r="AE30" i="12" l="1"/>
  <c r="AE22" i="32" s="1"/>
  <c r="AE45" i="6"/>
  <c r="AE22" i="33" s="1"/>
  <c r="AE96" i="10"/>
  <c r="AE43" i="4"/>
  <c r="AE20" i="33" s="1"/>
  <c r="AE41" i="3"/>
  <c r="AE19" i="33" s="1"/>
  <c r="AE38" i="5"/>
  <c r="AE21" i="33" s="1"/>
  <c r="D35" i="37"/>
  <c r="B35" i="37"/>
  <c r="F35" i="37"/>
  <c r="J35" i="37"/>
  <c r="J42" i="37"/>
  <c r="B31" i="40"/>
  <c r="D25" i="40" s="1"/>
  <c r="D27" i="40"/>
  <c r="AE85" i="11"/>
  <c r="AE21" i="32" s="1"/>
  <c r="W37" i="23"/>
  <c r="K27" i="34"/>
  <c r="AC27" i="32"/>
  <c r="AC32" i="32" s="1"/>
  <c r="AE49" i="18"/>
  <c r="AE27" i="32" s="1"/>
  <c r="AC16" i="32"/>
  <c r="AE16" i="32" s="1"/>
  <c r="Q32" i="32"/>
  <c r="AC29" i="33"/>
  <c r="AC33" i="33" s="1"/>
  <c r="H35" i="37"/>
  <c r="AE65" i="1"/>
  <c r="AE58" i="2"/>
  <c r="AE18" i="33" s="1"/>
  <c r="AE51" i="13"/>
  <c r="AE23" i="32" s="1"/>
  <c r="H27" i="40"/>
  <c r="Q54" i="25"/>
  <c r="Q58" i="25" s="1"/>
  <c r="W54" i="25" s="1"/>
  <c r="K54" i="25"/>
  <c r="K58" i="25" s="1"/>
  <c r="I54" i="25"/>
  <c r="I58" i="25" s="1"/>
  <c r="AA13" i="33"/>
  <c r="AE13" i="33"/>
  <c r="Q59" i="24"/>
  <c r="Q63" i="24" s="1"/>
  <c r="W59" i="24" s="1"/>
  <c r="K59" i="24"/>
  <c r="K63" i="24" s="1"/>
  <c r="I59" i="24"/>
  <c r="I63" i="24" s="1"/>
  <c r="W29" i="33"/>
  <c r="C33" i="33"/>
  <c r="C39" i="33" s="1"/>
  <c r="E35" i="33" s="1"/>
  <c r="I33" i="33"/>
  <c r="G33" i="33"/>
  <c r="K33" i="33"/>
  <c r="O33" i="33"/>
  <c r="E33" i="33"/>
  <c r="U36" i="32"/>
  <c r="M36" i="32"/>
  <c r="E36" i="32"/>
  <c r="C36" i="32"/>
  <c r="C42" i="32" s="1"/>
  <c r="E38" i="32" s="1"/>
  <c r="S36" i="32"/>
  <c r="K36" i="32"/>
  <c r="I36" i="32"/>
  <c r="O36" i="32"/>
  <c r="G36" i="32"/>
  <c r="Q33" i="33"/>
  <c r="W26" i="32"/>
  <c r="W32" i="32" s="1"/>
  <c r="AA46" i="17"/>
  <c r="AA26" i="32" s="1"/>
  <c r="AE46" i="17"/>
  <c r="AE26" i="32" s="1"/>
  <c r="I35" i="22"/>
  <c r="I39" i="22" s="1"/>
  <c r="Q35" i="22"/>
  <c r="Q39" i="22" s="1"/>
  <c r="W35" i="22" s="1"/>
  <c r="K35" i="22"/>
  <c r="K39" i="22" s="1"/>
  <c r="Q41" i="21"/>
  <c r="Q45" i="21" s="1"/>
  <c r="W41" i="21" s="1"/>
  <c r="K41" i="21"/>
  <c r="K45" i="21" s="1"/>
  <c r="I41" i="21"/>
  <c r="I45" i="21" s="1"/>
  <c r="D31" i="40" l="1"/>
  <c r="F25" i="40" s="1"/>
  <c r="F31" i="40" s="1"/>
  <c r="B39" i="37"/>
  <c r="B46" i="37" s="1"/>
  <c r="W58" i="25"/>
  <c r="O27" i="34"/>
  <c r="W63" i="24"/>
  <c r="M27" i="34"/>
  <c r="AC36" i="32"/>
  <c r="E39" i="33"/>
  <c r="G35" i="33" s="1"/>
  <c r="G39" i="33" s="1"/>
  <c r="E42" i="32"/>
  <c r="G38" i="32" s="1"/>
  <c r="G42" i="32" s="1"/>
  <c r="W45" i="21"/>
  <c r="G27" i="34"/>
  <c r="W39" i="22"/>
  <c r="I27" i="34"/>
  <c r="Q36" i="32"/>
  <c r="H25" i="40"/>
  <c r="H31" i="40" s="1"/>
  <c r="W33" i="33"/>
  <c r="AE29" i="33"/>
  <c r="AA29" i="33"/>
  <c r="S25" i="34"/>
  <c r="S31" i="34" s="1"/>
  <c r="K25" i="34"/>
  <c r="K31" i="34" s="1"/>
  <c r="C25" i="34"/>
  <c r="M25" i="34"/>
  <c r="G25" i="34"/>
  <c r="W36" i="32"/>
  <c r="Q25" i="34"/>
  <c r="Q31" i="34" s="1"/>
  <c r="AE32" i="32"/>
  <c r="I25" i="34"/>
  <c r="U25" i="34"/>
  <c r="U31" i="34" s="1"/>
  <c r="E25" i="34"/>
  <c r="O25" i="34"/>
  <c r="AA32" i="32"/>
  <c r="O31" i="34" l="1"/>
  <c r="D33" i="37"/>
  <c r="D39" i="37" s="1"/>
  <c r="M31" i="34"/>
  <c r="K38" i="32"/>
  <c r="K42" i="32" s="1"/>
  <c r="Q38" i="32"/>
  <c r="Q42" i="32" s="1"/>
  <c r="W38" i="32" s="1"/>
  <c r="I38" i="32"/>
  <c r="I42" i="32" s="1"/>
  <c r="I31" i="34"/>
  <c r="Q35" i="33"/>
  <c r="I35" i="33"/>
  <c r="I39" i="33" s="1"/>
  <c r="K35" i="33"/>
  <c r="K39" i="33" s="1"/>
  <c r="G31" i="34"/>
  <c r="J25" i="40"/>
  <c r="J31" i="40" s="1"/>
  <c r="Q39" i="33" l="1"/>
  <c r="W35" i="33" s="1"/>
  <c r="W39" i="33" s="1"/>
  <c r="F33" i="37"/>
  <c r="F39" i="37" s="1"/>
  <c r="D46" i="37"/>
  <c r="W42" i="32"/>
  <c r="E27" i="34"/>
  <c r="E31" i="34" s="1"/>
  <c r="L25" i="40"/>
  <c r="L31" i="40" s="1"/>
  <c r="C27" i="34" l="1"/>
  <c r="C31" i="34" s="1"/>
  <c r="F46" i="37"/>
  <c r="H33" i="37"/>
  <c r="H39" i="37" s="1"/>
  <c r="H46" i="37" s="1"/>
  <c r="N25" i="40"/>
  <c r="N31" i="40" s="1"/>
  <c r="J33" i="37" l="1"/>
  <c r="J39" i="37" s="1"/>
  <c r="L33" i="37" s="1"/>
  <c r="L39" i="37" s="1"/>
  <c r="P25" i="40"/>
  <c r="P31" i="40" s="1"/>
  <c r="J46" i="37" l="1"/>
  <c r="N33" i="37"/>
  <c r="N39" i="37" s="1"/>
  <c r="L46" i="37"/>
  <c r="R25" i="40"/>
  <c r="R31" i="40" s="1"/>
  <c r="P33" i="37" l="1"/>
  <c r="P39" i="37" s="1"/>
  <c r="N46" i="37"/>
  <c r="P46" i="37" l="1"/>
  <c r="R33" i="37"/>
  <c r="R39" i="37" l="1"/>
  <c r="R46" i="37" s="1"/>
  <c r="Y96" i="10"/>
  <c r="AA96" i="10" s="1"/>
  <c r="Y8" i="32"/>
  <c r="Y16" i="32" s="1"/>
  <c r="AA49" i="10"/>
  <c r="AA8" i="32" s="1"/>
  <c r="Y36" i="32" l="1"/>
  <c r="AA16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Molly Jester</author>
  </authors>
  <commentList>
    <comment ref="AG19" authorId="0" shapeId="0" xr:uid="{03E154E9-3437-4AA3-BA9B-3C5416212885}">
      <text>
        <r>
          <rPr>
            <b/>
            <sz val="9"/>
            <color indexed="81"/>
            <rFont val="Tahoma"/>
            <charset val="1"/>
          </rPr>
          <t>Molly Jester:</t>
        </r>
        <r>
          <rPr>
            <sz val="9"/>
            <color indexed="81"/>
            <rFont val="Tahoma"/>
            <charset val="1"/>
          </rPr>
          <t xml:space="preserve">
ok to include esri per Rick on 2.12.24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tc={5F80697F-4B80-4235-AE75-7A5E1790175D}</author>
  </authors>
  <commentList>
    <comment ref="U25" authorId="0" shapeId="0" xr:uid="{5F80697F-4B80-4235-AE75-7A5E1790175D}">
      <text>
        <t>[Threaded comment]
Your version of Excel allows you to read this threaded comment; however, any edits to it will get removed if the file is opened in a newer version of Excel. Learn more: https://go.microsoft.com/fwlink/?linkid=870924
Comment:
    Wanted moved from collections</t>
      </text>
    </comment>
  </commentList>
</comments>
</file>

<file path=xl/sharedStrings.xml><?xml version="1.0" encoding="utf-8"?>
<sst xmlns="http://schemas.openxmlformats.org/spreadsheetml/2006/main" count="4467" uniqueCount="1528">
  <si>
    <t>FY 2020</t>
  </si>
  <si>
    <t>FY 2021</t>
  </si>
  <si>
    <t>ACTUAL</t>
  </si>
  <si>
    <t>FY 2022</t>
  </si>
  <si>
    <t>FY 2023</t>
  </si>
  <si>
    <t>ORIGINAL</t>
  </si>
  <si>
    <t>BUDGET</t>
  </si>
  <si>
    <t>REVISED</t>
  </si>
  <si>
    <t>ESTIMATED</t>
  </si>
  <si>
    <t>TOTALS</t>
  </si>
  <si>
    <t>FY 2024</t>
  </si>
  <si>
    <t>PROPOSED</t>
  </si>
  <si>
    <t>Utility Fund Revenues</t>
  </si>
  <si>
    <t>01-1001-40110</t>
  </si>
  <si>
    <t>01-1001-40111</t>
  </si>
  <si>
    <t>01-1001-40112</t>
  </si>
  <si>
    <t>01-1001-40115</t>
  </si>
  <si>
    <t>01-1001-40117</t>
  </si>
  <si>
    <t>01-1001-40171</t>
  </si>
  <si>
    <t>01-1001-40178</t>
  </si>
  <si>
    <t>01-1001-40180</t>
  </si>
  <si>
    <t>01-1001-40185</t>
  </si>
  <si>
    <t>01-1001-40310</t>
  </si>
  <si>
    <t>01-2001-40117</t>
  </si>
  <si>
    <t>01-2001-40120</t>
  </si>
  <si>
    <t>01-2001-40122</t>
  </si>
  <si>
    <t>01-2001-40124</t>
  </si>
  <si>
    <t>01-2001-40125</t>
  </si>
  <si>
    <t>01-2001-40127</t>
  </si>
  <si>
    <t>01-2001-40180</t>
  </si>
  <si>
    <t>01-3001-40126</t>
  </si>
  <si>
    <t>01-3001-40130</t>
  </si>
  <si>
    <t>01-3001-40135</t>
  </si>
  <si>
    <t>01-3001-40180</t>
  </si>
  <si>
    <t>01-4000-40140</t>
  </si>
  <si>
    <t>01-4000-40142</t>
  </si>
  <si>
    <t>01-9900-40220</t>
  </si>
  <si>
    <t>Total Utility Fund Revenues</t>
  </si>
  <si>
    <t>Personnel Services</t>
  </si>
  <si>
    <t>01-1000-50410</t>
  </si>
  <si>
    <t>01-1000-50411</t>
  </si>
  <si>
    <t>01-1000-50415</t>
  </si>
  <si>
    <t>01-1000-50420</t>
  </si>
  <si>
    <t>01-1000-50430</t>
  </si>
  <si>
    <t>01-1000-50432</t>
  </si>
  <si>
    <t>01-1000-50433</t>
  </si>
  <si>
    <t>TMRS</t>
  </si>
  <si>
    <t>Total Personnel Services</t>
  </si>
  <si>
    <t>Contractual Services</t>
  </si>
  <si>
    <t>Total Contractual Services</t>
  </si>
  <si>
    <t>01-1000-50505</t>
  </si>
  <si>
    <t>01-1000-50512</t>
  </si>
  <si>
    <t>01-1000-50513</t>
  </si>
  <si>
    <t>01-1000-50545</t>
  </si>
  <si>
    <t>01-1000-50575</t>
  </si>
  <si>
    <t>01-1000-50581</t>
  </si>
  <si>
    <t>01-1000-50582</t>
  </si>
  <si>
    <t>01-1000-50583</t>
  </si>
  <si>
    <t>01-1000-50585</t>
  </si>
  <si>
    <t>01-1000-50586</t>
  </si>
  <si>
    <t>01-1000-50587</t>
  </si>
  <si>
    <t>01-1000-50589</t>
  </si>
  <si>
    <t>01-1000-50590</t>
  </si>
  <si>
    <t>01-1000-50593</t>
  </si>
  <si>
    <t>01-1000-50598</t>
  </si>
  <si>
    <t>Maintenance/Repair</t>
  </si>
  <si>
    <t>Total Maintenance/Repair</t>
  </si>
  <si>
    <t>01-1000-50630</t>
  </si>
  <si>
    <t>01-1000-50650</t>
  </si>
  <si>
    <t>Other Services</t>
  </si>
  <si>
    <t>Total Other Services</t>
  </si>
  <si>
    <t>01-1000-50753</t>
  </si>
  <si>
    <t>01-1000-50765</t>
  </si>
  <si>
    <t>01-1000-50775</t>
  </si>
  <si>
    <t>01-1000-50780</t>
  </si>
  <si>
    <t>01-1000-50810</t>
  </si>
  <si>
    <t>01-1000-50825</t>
  </si>
  <si>
    <t>01-1000-50830</t>
  </si>
  <si>
    <t>01-1000-50840</t>
  </si>
  <si>
    <t>01-1000-50998</t>
  </si>
  <si>
    <t>01-1000-51000</t>
  </si>
  <si>
    <t>Total Administration Expenditures</t>
  </si>
  <si>
    <t>01-1000-50596</t>
  </si>
  <si>
    <t>01-1000-50766</t>
  </si>
  <si>
    <t>01-1000-55100</t>
  </si>
  <si>
    <t>01-1000-55099</t>
  </si>
  <si>
    <t>Water Production Expenditures</t>
  </si>
  <si>
    <t>Administration Expenditures</t>
  </si>
  <si>
    <t>01-1001-50410</t>
  </si>
  <si>
    <t>01-1001-50411</t>
  </si>
  <si>
    <t>01-1001-50415</t>
  </si>
  <si>
    <t>01-1001-50420</t>
  </si>
  <si>
    <t>01-1001-50430</t>
  </si>
  <si>
    <t>01-1001-50432</t>
  </si>
  <si>
    <t>01-1001-50433</t>
  </si>
  <si>
    <t>01-1001-50535</t>
  </si>
  <si>
    <t>01-1001-50540</t>
  </si>
  <si>
    <t>01-1001-50548</t>
  </si>
  <si>
    <t>01-1001-50555</t>
  </si>
  <si>
    <t>01-1001-50560</t>
  </si>
  <si>
    <t>01-1001-50592</t>
  </si>
  <si>
    <t>01-1001-50595</t>
  </si>
  <si>
    <t>01-1001-50640</t>
  </si>
  <si>
    <t>01-1001-50685</t>
  </si>
  <si>
    <t>01-1001-50675</t>
  </si>
  <si>
    <t>01-1001-50765</t>
  </si>
  <si>
    <t>01-1001-50785</t>
  </si>
  <si>
    <t>01-1001-50800</t>
  </si>
  <si>
    <t>01-1001-50830</t>
  </si>
  <si>
    <t>Total Water Production Expenditures</t>
  </si>
  <si>
    <t>Water Distribution Expenditures</t>
  </si>
  <si>
    <t>Total Water Distribution Expenditures</t>
  </si>
  <si>
    <t>01-1002-50410</t>
  </si>
  <si>
    <t>01-1002-50411</t>
  </si>
  <si>
    <t>01-1002-50415</t>
  </si>
  <si>
    <t>01-1002-50420</t>
  </si>
  <si>
    <t>01-1002-50430</t>
  </si>
  <si>
    <t>01-1002-50432</t>
  </si>
  <si>
    <t>01-1002-50433</t>
  </si>
  <si>
    <t>01-1002-50545</t>
  </si>
  <si>
    <t>01-1002-50548</t>
  </si>
  <si>
    <t>01-1002-50549</t>
  </si>
  <si>
    <t>01-1002-50550</t>
  </si>
  <si>
    <t>01-1002-50592</t>
  </si>
  <si>
    <t>01-1002-50595</t>
  </si>
  <si>
    <t>01-1002-50640</t>
  </si>
  <si>
    <t>01-1002-50650</t>
  </si>
  <si>
    <t>01-1002-50685</t>
  </si>
  <si>
    <t>01-1002-50725</t>
  </si>
  <si>
    <t>01-1002-50726</t>
  </si>
  <si>
    <t>01-1002-50730</t>
  </si>
  <si>
    <t>01-1002-50755</t>
  </si>
  <si>
    <t>01-1002-50765</t>
  </si>
  <si>
    <t>01-1002-50785</t>
  </si>
  <si>
    <t>01-1002-50800</t>
  </si>
  <si>
    <t>01-1002-50830</t>
  </si>
  <si>
    <t>01-2001-50410</t>
  </si>
  <si>
    <t>01-2001-50411</t>
  </si>
  <si>
    <t>01-2001-50415</t>
  </si>
  <si>
    <t>01-2001-50420</t>
  </si>
  <si>
    <t>01-2001-50430</t>
  </si>
  <si>
    <t>01-2001-50432</t>
  </si>
  <si>
    <t>01-2001-50433</t>
  </si>
  <si>
    <t>01-2001-50543</t>
  </si>
  <si>
    <t>01-2001-50548</t>
  </si>
  <si>
    <t>01-2001-50555</t>
  </si>
  <si>
    <t>01-2001-50592</t>
  </si>
  <si>
    <t>01-2001-50595</t>
  </si>
  <si>
    <t>01-2001-50640</t>
  </si>
  <si>
    <t>01-2001-50675</t>
  </si>
  <si>
    <t>01-2001-50685</t>
  </si>
  <si>
    <t>01-2001-50742</t>
  </si>
  <si>
    <t>01-2001-50765</t>
  </si>
  <si>
    <t>01-2001-50785</t>
  </si>
  <si>
    <t>01-2001-50800</t>
  </si>
  <si>
    <t>01-2001-50830</t>
  </si>
  <si>
    <t>01-2002-50410</t>
  </si>
  <si>
    <t>01-2002-50411</t>
  </si>
  <si>
    <t>01-2002-50415</t>
  </si>
  <si>
    <t>01-2002-50420</t>
  </si>
  <si>
    <t>01-2002-50430</t>
  </si>
  <si>
    <t>01-2002-50432</t>
  </si>
  <si>
    <t>01-2002-50433</t>
  </si>
  <si>
    <t>01-2002-50542</t>
  </si>
  <si>
    <t>01-2002-50548</t>
  </si>
  <si>
    <t>01-2002-50549</t>
  </si>
  <si>
    <t>01-2002-50550</t>
  </si>
  <si>
    <t>01-2002-50592</t>
  </si>
  <si>
    <t>01-2002-50595</t>
  </si>
  <si>
    <t>Wastewater Treatment Expenditures</t>
  </si>
  <si>
    <t>Total Wastewater Treatment Expenditures</t>
  </si>
  <si>
    <t>Wastewater Collection Expenditures</t>
  </si>
  <si>
    <t>Total Wastewater Collection Expenditures</t>
  </si>
  <si>
    <t>01-2002-50640</t>
  </si>
  <si>
    <t>01-2002-50645</t>
  </si>
  <si>
    <t>01-2002-50646</t>
  </si>
  <si>
    <t>01-2002-50670</t>
  </si>
  <si>
    <t>01-2002-50685</t>
  </si>
  <si>
    <t>01-2002-50715</t>
  </si>
  <si>
    <t>01-2002-50725</t>
  </si>
  <si>
    <t>01-2002-50726</t>
  </si>
  <si>
    <t>01-2002-50765</t>
  </si>
  <si>
    <t>01-2002-50785</t>
  </si>
  <si>
    <t>01-2002-50800</t>
  </si>
  <si>
    <t>01-2002-50830</t>
  </si>
  <si>
    <t>Solid Waste Recycling Expenditures</t>
  </si>
  <si>
    <t>Total Solid Waste Recycling Expenditures</t>
  </si>
  <si>
    <t>01-3001-50410</t>
  </si>
  <si>
    <t>01-3001-50411</t>
  </si>
  <si>
    <t>01-3001-50415</t>
  </si>
  <si>
    <t>01-3001-50420</t>
  </si>
  <si>
    <t>01-3001-50430</t>
  </si>
  <si>
    <t>01-3001-50432</t>
  </si>
  <si>
    <t>01-3001-50433</t>
  </si>
  <si>
    <t>01-3001-50599</t>
  </si>
  <si>
    <t>01-3001-50600</t>
  </si>
  <si>
    <t>01-3001-50605</t>
  </si>
  <si>
    <t>01-3001-50606</t>
  </si>
  <si>
    <t>01-3001-50676</t>
  </si>
  <si>
    <t>01-3001-50785</t>
  </si>
  <si>
    <t>Debt Service Expenditures</t>
  </si>
  <si>
    <t>Total Debt Service Expenditures</t>
  </si>
  <si>
    <t>01-9994-50515</t>
  </si>
  <si>
    <t>01-9994-50516</t>
  </si>
  <si>
    <t>01-9994-50518</t>
  </si>
  <si>
    <t>01-9994-50521</t>
  </si>
  <si>
    <t>01-9994-50522</t>
  </si>
  <si>
    <t>01-9994-50523</t>
  </si>
  <si>
    <t>01-9994-50524</t>
  </si>
  <si>
    <t>01-9994-50527</t>
  </si>
  <si>
    <t>01-9994-50528</t>
  </si>
  <si>
    <t>01-9994-50529</t>
  </si>
  <si>
    <t>01-9994-50530</t>
  </si>
  <si>
    <t>01-9994-50533</t>
  </si>
  <si>
    <t>01-9994-50534</t>
  </si>
  <si>
    <t>01-9994-50536</t>
  </si>
  <si>
    <t>01-9994-55099</t>
  </si>
  <si>
    <t>UNIFORMS</t>
  </si>
  <si>
    <t>COMMUNICATIONS</t>
  </si>
  <si>
    <t>SALARIES &amp; WAGES</t>
  </si>
  <si>
    <t>OVERTIME</t>
  </si>
  <si>
    <t>GROUP INSURANCE PREMIUM</t>
  </si>
  <si>
    <t>BULK WATER PURCHASES</t>
  </si>
  <si>
    <t>CONTRACT SERVICES</t>
  </si>
  <si>
    <t>WELLNESS PROGRAM</t>
  </si>
  <si>
    <t>M &amp; R - VEHICLES</t>
  </si>
  <si>
    <t>BIO SOLIDS - COMPOST</t>
  </si>
  <si>
    <t>COVID-19 DISASTER EXPENSES</t>
  </si>
  <si>
    <t>POSTAGE</t>
  </si>
  <si>
    <t>GRINDER PURCHASES</t>
  </si>
  <si>
    <t>STREET REPAIR - PAVING</t>
  </si>
  <si>
    <t>Capital Outlay Expenditures</t>
  </si>
  <si>
    <t>Total Capital Outlay Expenditures</t>
  </si>
  <si>
    <t>01-9999-50955</t>
  </si>
  <si>
    <t>01-9999-50956</t>
  </si>
  <si>
    <t>01-9999-50957</t>
  </si>
  <si>
    <t>01-9999-50959</t>
  </si>
  <si>
    <t>01-9999-50968</t>
  </si>
  <si>
    <t>01-9999-50969</t>
  </si>
  <si>
    <t>01-9999-59999</t>
  </si>
  <si>
    <t>CAP OUT - MACHINE/EQUIPMENT</t>
  </si>
  <si>
    <t>CAP OUT - VEHICLES</t>
  </si>
  <si>
    <t>CAP OUT - OFFICE EQUIP/FURN</t>
  </si>
  <si>
    <t>CAP OUT - BUILDING IMPROVEMENT</t>
  </si>
  <si>
    <t>CAP OUT - SEWER LINE IMPROVE</t>
  </si>
  <si>
    <t>CAP OUT - WATER PLANT IMPROVE</t>
  </si>
  <si>
    <t>General Fund Revenues</t>
  </si>
  <si>
    <t>02-1000-40170</t>
  </si>
  <si>
    <t>ADMINISTRATIVE FEES</t>
  </si>
  <si>
    <t>MISCELLANEOUS REVENUE</t>
  </si>
  <si>
    <t>CC CONVENIENCE FEES</t>
  </si>
  <si>
    <t>02-1000-40175</t>
  </si>
  <si>
    <t>INSURANCE PROCEEDS</t>
  </si>
  <si>
    <t>02-1000-40179</t>
  </si>
  <si>
    <t>MILFOIL REIMBURSE - LLANO CO</t>
  </si>
  <si>
    <t>02-1000-40180</t>
  </si>
  <si>
    <t>OTHER INCOME</t>
  </si>
  <si>
    <t>OTHER INCOME - DONATION</t>
  </si>
  <si>
    <t>02-1000-40188</t>
  </si>
  <si>
    <t>CORONAVIRUS RELIEF FUND</t>
  </si>
  <si>
    <t>02-1000-40189</t>
  </si>
  <si>
    <t>DONATIONS - FUCHS HOUSE</t>
  </si>
  <si>
    <t>02-1000-40193</t>
  </si>
  <si>
    <t>MUNICIPAL COURT REVENUE</t>
  </si>
  <si>
    <t>02-1000-40194</t>
  </si>
  <si>
    <t>TRAFFIC FINES</t>
  </si>
  <si>
    <t>02-1000-40196</t>
  </si>
  <si>
    <t>02-1000-40197</t>
  </si>
  <si>
    <t>02-1000-40198</t>
  </si>
  <si>
    <t>COLLECTION AGENCY REVENUE</t>
  </si>
  <si>
    <t>02-1000-40199</t>
  </si>
  <si>
    <t>02-1000-40200</t>
  </si>
  <si>
    <t>02-1000-40201</t>
  </si>
  <si>
    <t>02-1000-40202</t>
  </si>
  <si>
    <t>02-1000-40203</t>
  </si>
  <si>
    <t>AMERICAN RESCUE PLAN ACT</t>
  </si>
  <si>
    <t>02-1000-40204</t>
  </si>
  <si>
    <t>FEMA GRANT - WINTER STORM 21</t>
  </si>
  <si>
    <t>02-1000-40212</t>
  </si>
  <si>
    <t>02-1000-49999</t>
  </si>
  <si>
    <t>REIMBURSEMENT - FUCHS HOUSE</t>
  </si>
  <si>
    <t>MAILBOX FEES</t>
  </si>
  <si>
    <t>LEASE REVENUE</t>
  </si>
  <si>
    <t>02-1000-50410</t>
  </si>
  <si>
    <t>02-1000-50411</t>
  </si>
  <si>
    <t>02-1000-50415</t>
  </si>
  <si>
    <t>FICA EXPENSE - ER</t>
  </si>
  <si>
    <t>02-1000-50420</t>
  </si>
  <si>
    <t>02-1000-50430</t>
  </si>
  <si>
    <t>02-1000-50432</t>
  </si>
  <si>
    <t>02-1000-50433</t>
  </si>
  <si>
    <t>02-1000-50435</t>
  </si>
  <si>
    <t>UNEMPLOYMENT EXPENSE</t>
  </si>
  <si>
    <t>02-1000-50500</t>
  </si>
  <si>
    <t>ACCOUNTING/AUDITING FEES</t>
  </si>
  <si>
    <t>02-1000-50505</t>
  </si>
  <si>
    <t>PROFESSIONAL SERVICES</t>
  </si>
  <si>
    <t>02-1000-50506</t>
  </si>
  <si>
    <t>ELECTION CONTRACTS</t>
  </si>
  <si>
    <t>02-1000-50509</t>
  </si>
  <si>
    <t>APPRAISAL DIST FEES - BURNET</t>
  </si>
  <si>
    <t>02-1000-50510</t>
  </si>
  <si>
    <t>APPRAISAL DIST FEES - LLANO</t>
  </si>
  <si>
    <t>02-1000-50511</t>
  </si>
  <si>
    <t>DRAINAGE STUDY</t>
  </si>
  <si>
    <t>02-1000-50514</t>
  </si>
  <si>
    <t>TRANSPORTATION STUDY</t>
  </si>
  <si>
    <t>02-1000-50545</t>
  </si>
  <si>
    <t>MAINTENANCE CONTRACTS</t>
  </si>
  <si>
    <t>02-1000-50564</t>
  </si>
  <si>
    <t>CODIFICATION</t>
  </si>
  <si>
    <t>02-1000-50565</t>
  </si>
  <si>
    <t>CITY COUNCIL EXPENSES</t>
  </si>
  <si>
    <t>02-1000-50568</t>
  </si>
  <si>
    <t>ADVISORY COMMITTEES</t>
  </si>
  <si>
    <t>02-1000-50570</t>
  </si>
  <si>
    <t>DISPATCH EXPENSE</t>
  </si>
  <si>
    <t>02-1000-50575</t>
  </si>
  <si>
    <t>DUES/FEES/SUBSCRIPTIONS</t>
  </si>
  <si>
    <t>02-1000-50576</t>
  </si>
  <si>
    <t>02-1000-50585</t>
  </si>
  <si>
    <t>ELECTRICITY</t>
  </si>
  <si>
    <t>02-1000-50591</t>
  </si>
  <si>
    <t>EOC TRAINING/SUPPLIES</t>
  </si>
  <si>
    <t>02-1000-50592</t>
  </si>
  <si>
    <t>EQUIPMENT/SUPPLIES</t>
  </si>
  <si>
    <t>02-1000-50593</t>
  </si>
  <si>
    <t>TRAVEL/TRAINING/SCHOOL</t>
  </si>
  <si>
    <t>FUEL/MAINTENANCE</t>
  </si>
  <si>
    <t>02-1000-50596</t>
  </si>
  <si>
    <t>EMPLOYEE AWARDS PROGRAM</t>
  </si>
  <si>
    <t>02-1000-50597</t>
  </si>
  <si>
    <t>SPECIAL EVENTS</t>
  </si>
  <si>
    <t>02-1000-50610</t>
  </si>
  <si>
    <t>INSURANCE - PROPERTY/LIABILITY</t>
  </si>
  <si>
    <t>02-1000-50611</t>
  </si>
  <si>
    <t>WORKERS COMP INSURANCE</t>
  </si>
  <si>
    <t>02-1000-50620</t>
  </si>
  <si>
    <t>LEGAL EXPENSES</t>
  </si>
  <si>
    <t>02-1000-50625</t>
  </si>
  <si>
    <t>FIREWORKS</t>
  </si>
  <si>
    <t>02-1000-50630</t>
  </si>
  <si>
    <t>M&amp;R - BUILDING</t>
  </si>
  <si>
    <t>M&amp;R - GROUNDS</t>
  </si>
  <si>
    <t>02-1000-50753</t>
  </si>
  <si>
    <t>CITY BANKING FEES</t>
  </si>
  <si>
    <t>02-1000-50765</t>
  </si>
  <si>
    <t>OTHER EXPENSES</t>
  </si>
  <si>
    <t>02-1000-50766</t>
  </si>
  <si>
    <t>02-1000-50775</t>
  </si>
  <si>
    <t>02-1000-50780</t>
  </si>
  <si>
    <t>PRINTING/OFFICE SUPPLIES</t>
  </si>
  <si>
    <t>02-1000-50781</t>
  </si>
  <si>
    <t>GENERAL SUPPLIES</t>
  </si>
  <si>
    <t>02-1000-50810</t>
  </si>
  <si>
    <t>02-1000-50820</t>
  </si>
  <si>
    <t>02-1000-50821</t>
  </si>
  <si>
    <t>02-1000-50823</t>
  </si>
  <si>
    <t>02-1000-50824</t>
  </si>
  <si>
    <t>02-1000-50826</t>
  </si>
  <si>
    <t>MUNICIPAL COURT JUDICIAL STAFF</t>
  </si>
  <si>
    <t>02-1000-50831</t>
  </si>
  <si>
    <t>TRANSFER OUT</t>
  </si>
  <si>
    <t>02-1000-50841</t>
  </si>
  <si>
    <t>CENTRAL TEXAS WATER COALITION</t>
  </si>
  <si>
    <t>02-1000-50842</t>
  </si>
  <si>
    <t>WORKFORCE NETWORK</t>
  </si>
  <si>
    <t>02-1000-50843</t>
  </si>
  <si>
    <t>SPONSORSHIP</t>
  </si>
  <si>
    <t>02-1000-50844</t>
  </si>
  <si>
    <t>FRIENDS OF MARBLE FALLS LIBRARY</t>
  </si>
  <si>
    <t>02-1000-50861</t>
  </si>
  <si>
    <t>MAILBOX POA REFUND</t>
  </si>
  <si>
    <t>ROW MAINTENANCE</t>
  </si>
  <si>
    <t>02-1000-50866</t>
  </si>
  <si>
    <t>TREE REMOVAL</t>
  </si>
  <si>
    <t>02-1000-50867</t>
  </si>
  <si>
    <t>GOLDEN NUGGET NATURE PARK</t>
  </si>
  <si>
    <t>02-1000-50868</t>
  </si>
  <si>
    <t>MARTIN PARK</t>
  </si>
  <si>
    <t>02-1000-50870</t>
  </si>
  <si>
    <t>FUCHS HOUSE PARK</t>
  </si>
  <si>
    <t>02-1000-50871</t>
  </si>
  <si>
    <t>MILFOIL TREATMENT</t>
  </si>
  <si>
    <t>02-1000-50872</t>
  </si>
  <si>
    <t>HORSESHOE CREEK HIKING TRAIL</t>
  </si>
  <si>
    <t>02-1000-50873</t>
  </si>
  <si>
    <t>HSB POA - PARK CONTRIBUTION</t>
  </si>
  <si>
    <t>Capital Outlays</t>
  </si>
  <si>
    <t>02-1000-50955</t>
  </si>
  <si>
    <t>02-1000-50997</t>
  </si>
  <si>
    <t>PEG FEES REPAYMENT</t>
  </si>
  <si>
    <t>02-1000-50998</t>
  </si>
  <si>
    <t>INTEREST FEES - LEASES</t>
  </si>
  <si>
    <t>02-1000-50999</t>
  </si>
  <si>
    <t>PRINCIPAL - LEASES</t>
  </si>
  <si>
    <t>02-3000-50410</t>
  </si>
  <si>
    <t>02-3000-50415</t>
  </si>
  <si>
    <t>02-3000-50420</t>
  </si>
  <si>
    <t>02-3000-50430</t>
  </si>
  <si>
    <t>401(A) MONEY PURCHASE</t>
  </si>
  <si>
    <t>401(A) MATCH</t>
  </si>
  <si>
    <t>02-3000-50432</t>
  </si>
  <si>
    <t>02-3000-50433</t>
  </si>
  <si>
    <t>02-3000-50505</t>
  </si>
  <si>
    <t>02-3000-50545</t>
  </si>
  <si>
    <t>02-3000-50575</t>
  </si>
  <si>
    <t>02-3000-50592</t>
  </si>
  <si>
    <t>02-3000-50593</t>
  </si>
  <si>
    <t>02-3000-50830</t>
  </si>
  <si>
    <t>02-3000-50955</t>
  </si>
  <si>
    <t>02-5000-40180</t>
  </si>
  <si>
    <t>02-5000-40175</t>
  </si>
  <si>
    <t>02-5000-40182</t>
  </si>
  <si>
    <t>SALE OF PROPERTY</t>
  </si>
  <si>
    <t>02-5000-40186</t>
  </si>
  <si>
    <t>02-5000-40506</t>
  </si>
  <si>
    <t>FIRE FIGHTING SERVICES</t>
  </si>
  <si>
    <t>Fire Dept Expenditures</t>
  </si>
  <si>
    <t>02-5000-50410</t>
  </si>
  <si>
    <t>02-5000-50411</t>
  </si>
  <si>
    <t>02-5000-50412</t>
  </si>
  <si>
    <t>SALARIES - PART TIME</t>
  </si>
  <si>
    <t>02-5000-50415</t>
  </si>
  <si>
    <t>02-5000-50420</t>
  </si>
  <si>
    <t>02-5000-50430</t>
  </si>
  <si>
    <t>02-5000-50432</t>
  </si>
  <si>
    <t>02-5000-50433</t>
  </si>
  <si>
    <t>02-5000-50437</t>
  </si>
  <si>
    <t>RELOCATION EXPENSE</t>
  </si>
  <si>
    <t>02-5000-50505</t>
  </si>
  <si>
    <t>02-5000-50545</t>
  </si>
  <si>
    <t>02-5000-50548</t>
  </si>
  <si>
    <t>02-5000-50575</t>
  </si>
  <si>
    <t>02-5000-50576</t>
  </si>
  <si>
    <t>02-5000-50592</t>
  </si>
  <si>
    <t>02-5000-50593</t>
  </si>
  <si>
    <t>02-5000-50594</t>
  </si>
  <si>
    <t>FIRE PROTECTION GEAR</t>
  </si>
  <si>
    <t>02-5000-50595</t>
  </si>
  <si>
    <t>02-5000-50598</t>
  </si>
  <si>
    <t>02-1000-50650</t>
  </si>
  <si>
    <t>02-5000-50640</t>
  </si>
  <si>
    <t>M&amp;R - EQUIPMENT</t>
  </si>
  <si>
    <t>02-5000-50685</t>
  </si>
  <si>
    <t>M&amp;R - VEHICLES</t>
  </si>
  <si>
    <t>02-5000-50765</t>
  </si>
  <si>
    <t>02-5000-50775</t>
  </si>
  <si>
    <t>02-5000-50780</t>
  </si>
  <si>
    <t>02-5000-50800</t>
  </si>
  <si>
    <t>SAFETY EQUIPMENT/SUPPLIES</t>
  </si>
  <si>
    <t>02-5000-50811</t>
  </si>
  <si>
    <t>TELECARE PROGRAM</t>
  </si>
  <si>
    <t>02-5000-50829</t>
  </si>
  <si>
    <t>PUBLIC SAFETY DONATIONS</t>
  </si>
  <si>
    <t>02-5000-50830</t>
  </si>
  <si>
    <t>02-5000-50955</t>
  </si>
  <si>
    <t>02-5000-50956</t>
  </si>
  <si>
    <t>02-5000-50959</t>
  </si>
  <si>
    <t>Total Capital Outlays</t>
  </si>
  <si>
    <t>Technical Services Expenditures</t>
  </si>
  <si>
    <t>Total Technical Services Expenditures</t>
  </si>
  <si>
    <t>Total Fire Dept Expenditures</t>
  </si>
  <si>
    <t>02-6000-40191</t>
  </si>
  <si>
    <t>LLANO COUNTY ESD #1 - RENT</t>
  </si>
  <si>
    <t>02-7000-40160</t>
  </si>
  <si>
    <t>PROPERTY TAX (M&amp;O)</t>
  </si>
  <si>
    <t>02-7000-40162</t>
  </si>
  <si>
    <t>PENALTY &amp; INTEREST (M&amp;O)</t>
  </si>
  <si>
    <t>02-7000-40163</t>
  </si>
  <si>
    <t>MIXED BEVERAGE TAX</t>
  </si>
  <si>
    <t>02-7000-40165</t>
  </si>
  <si>
    <t>SALES TAX</t>
  </si>
  <si>
    <t>02-7000-40166</t>
  </si>
  <si>
    <t>PEC FRANCHISE FEE</t>
  </si>
  <si>
    <t>02-7000-40167</t>
  </si>
  <si>
    <t>TELEPHONE FRANCHISE FEE</t>
  </si>
  <si>
    <t>02-7000-40180</t>
  </si>
  <si>
    <t>02-7000-40211</t>
  </si>
  <si>
    <t>CABLE FRANCHISE FEE</t>
  </si>
  <si>
    <t>02-7000-40213</t>
  </si>
  <si>
    <t>PEG CHANNEL FEE</t>
  </si>
  <si>
    <t>02-8000-40175</t>
  </si>
  <si>
    <t>02-8000-40180</t>
  </si>
  <si>
    <t>02-8000-40182</t>
  </si>
  <si>
    <t>02-8000-40186</t>
  </si>
  <si>
    <t>02-8000-50410</t>
  </si>
  <si>
    <t>02-8000-50411</t>
  </si>
  <si>
    <t>02-8000-50415</t>
  </si>
  <si>
    <t>GRANT REVENUE</t>
  </si>
  <si>
    <t>GAIN/LOSS ON FIXED ASSETS</t>
  </si>
  <si>
    <t>UTILITY BILLING</t>
  </si>
  <si>
    <t>ELECTRICITY - WWTR</t>
  </si>
  <si>
    <t>ENGINEERING FEES</t>
  </si>
  <si>
    <t>01</t>
  </si>
  <si>
    <t>CRF RECLASS TO UTILITY FUND</t>
  </si>
  <si>
    <t>WATER TAP CONNECTION FEES</t>
  </si>
  <si>
    <t>RECONNECTION FEES</t>
  </si>
  <si>
    <t>SEWER TAP CONNECTION FEES</t>
  </si>
  <si>
    <t>ELECTRICITY - RECYCLE CENTER</t>
  </si>
  <si>
    <t>ELECTRICITY - CENTRAL WATER PL</t>
  </si>
  <si>
    <t>IMPACT FEE STUDY</t>
  </si>
  <si>
    <t>MASTER PLAN STUDY</t>
  </si>
  <si>
    <t>METER EXPENSE - NEW SERVICE</t>
  </si>
  <si>
    <t>UNCOLLECTABLE ACCOUNTS</t>
  </si>
  <si>
    <t>DEPRECIATION - ROU ASSET</t>
  </si>
  <si>
    <t>DEPRECIATION EXPENSE</t>
  </si>
  <si>
    <t>AMORTIZATION EXPENSE</t>
  </si>
  <si>
    <t>BAD DEBT EXPENSE</t>
  </si>
  <si>
    <t xml:space="preserve">TRANSFERS IN </t>
  </si>
  <si>
    <t>PID PRINCIPAL - PROMISSORY NOT</t>
  </si>
  <si>
    <t>INTEREST REVENUE - SUMMIT ROCK</t>
  </si>
  <si>
    <t>OTHER INCOME - LEASES</t>
  </si>
  <si>
    <t>MISCELLANEOUS PERMITS</t>
  </si>
  <si>
    <t>WATER QUALITY</t>
  </si>
  <si>
    <t>RELCASS WT TAP MATERIALS</t>
  </si>
  <si>
    <t>CONTRACT SERVICES - TAPS/NEW S</t>
  </si>
  <si>
    <t>02</t>
  </si>
  <si>
    <t>FRIENDS OF MARBLE FALL LIBRARY</t>
  </si>
  <si>
    <t>ARPA REIMBURSE - LLANO CO</t>
  </si>
  <si>
    <t>02-8000-50420</t>
  </si>
  <si>
    <t>02-8000-50430</t>
  </si>
  <si>
    <t>02-8000-50432</t>
  </si>
  <si>
    <t>02-8000-50433</t>
  </si>
  <si>
    <t>02-8000-50548</t>
  </si>
  <si>
    <t>02-8000-50570</t>
  </si>
  <si>
    <t>02-8000-50575</t>
  </si>
  <si>
    <t>02-8000-50576</t>
  </si>
  <si>
    <t>02-8000-50592</t>
  </si>
  <si>
    <t>02-8000-50593</t>
  </si>
  <si>
    <t>02-8000-50595</t>
  </si>
  <si>
    <t>02-8000-50615</t>
  </si>
  <si>
    <t>02-8000-50616</t>
  </si>
  <si>
    <t>02-8000-50640</t>
  </si>
  <si>
    <t>02-8000-50685</t>
  </si>
  <si>
    <t>02-8000-50686</t>
  </si>
  <si>
    <t>M &amp; R - WEAPONS</t>
  </si>
  <si>
    <t>02-8000-50760</t>
  </si>
  <si>
    <t>02-8000-50765</t>
  </si>
  <si>
    <t>02-8000-50775</t>
  </si>
  <si>
    <t>02-8000-50780</t>
  </si>
  <si>
    <t>02-8000-50800</t>
  </si>
  <si>
    <t>02-8000-50829</t>
  </si>
  <si>
    <t>02-8000-50830</t>
  </si>
  <si>
    <t>CITIBANK - DJOHNSON - WINGMAN</t>
  </si>
  <si>
    <t>02-8000-50955</t>
  </si>
  <si>
    <t>02-8000-50956</t>
  </si>
  <si>
    <t>02-8000-50959</t>
  </si>
  <si>
    <t>Animal Control Expenditures</t>
  </si>
  <si>
    <t>02-9000-50410</t>
  </si>
  <si>
    <t>02-9000-50411</t>
  </si>
  <si>
    <t>02-9000-50415</t>
  </si>
  <si>
    <t>02-9000-50420</t>
  </si>
  <si>
    <t>02-9000-50430</t>
  </si>
  <si>
    <t>02-9000-50432</t>
  </si>
  <si>
    <t>02-9000-50433</t>
  </si>
  <si>
    <t>02-9000-50502</t>
  </si>
  <si>
    <t>ANIMAL SHELTER</t>
  </si>
  <si>
    <t>02-9000-50548</t>
  </si>
  <si>
    <t>02-9000-50592</t>
  </si>
  <si>
    <t>02-9000-50593</t>
  </si>
  <si>
    <t>02-9000-50595</t>
  </si>
  <si>
    <t>02-9000-50685</t>
  </si>
  <si>
    <t>02-9000-50765</t>
  </si>
  <si>
    <t>02-9000-50830</t>
  </si>
  <si>
    <t>02-9000-50862</t>
  </si>
  <si>
    <t>DEER MANAGEMENT</t>
  </si>
  <si>
    <t>Total Animal Control Expenditures</t>
  </si>
  <si>
    <t>Police Dept Expenditures</t>
  </si>
  <si>
    <t>Total Police Dept Expenditures</t>
  </si>
  <si>
    <t>3RD PARTY INSPECTION - REIMB</t>
  </si>
  <si>
    <t>3RD PARTY INSPECTIONS</t>
  </si>
  <si>
    <t>ELECTRICITY - WEST WATER PL</t>
  </si>
  <si>
    <t>PID REFUNDS - SUMMIT ROCK</t>
  </si>
  <si>
    <t>BOND PREMIUM AMORTIZATION</t>
  </si>
  <si>
    <t>WATER SERVICE FEES - DIST</t>
  </si>
  <si>
    <t>WATER SERVICE FEES - NON DIST</t>
  </si>
  <si>
    <t>TRANSFER IN - ZEBRA MUSSELL</t>
  </si>
  <si>
    <t>CHEMICALS - WATER</t>
  </si>
  <si>
    <t>LAB EXPENSES</t>
  </si>
  <si>
    <t>M&amp;R - PLANT</t>
  </si>
  <si>
    <t>MATERIALS - M&amp;R LINES</t>
  </si>
  <si>
    <t>LEASE - RENT</t>
  </si>
  <si>
    <t>CHEMICALS - WASTEWATER</t>
  </si>
  <si>
    <t>CONTRACT SERVICES - LEAK DETEC</t>
  </si>
  <si>
    <t>M&amp;R - GRINDER PUMPS</t>
  </si>
  <si>
    <t>M&amp;R - FIRE HYDRANTS</t>
  </si>
  <si>
    <t>MATERIALS - M&amp;R GP</t>
  </si>
  <si>
    <t>MATERIALS - M&amp;R WT TAP</t>
  </si>
  <si>
    <t>ACTUALS</t>
  </si>
  <si>
    <t>REMAINING</t>
  </si>
  <si>
    <t>PENALITIES/INTEREST</t>
  </si>
  <si>
    <t>PENALTIES/INTEREST</t>
  </si>
  <si>
    <t>SEWER SERVICE FEES</t>
  </si>
  <si>
    <t>SEWER - COTTONWOOD SHORES</t>
  </si>
  <si>
    <t>SEWER - LLANO CO MUD #1</t>
  </si>
  <si>
    <t>GRINDER SALES</t>
  </si>
  <si>
    <t>BOND PROCEEDS</t>
  </si>
  <si>
    <t>CHEMICALS - COLLECTION</t>
  </si>
  <si>
    <t>RECLASS LAB EXPENSES</t>
  </si>
  <si>
    <t>M&amp;R - LIFT STATION</t>
  </si>
  <si>
    <t>MATERIALS - M&amp;R SEWER TAP</t>
  </si>
  <si>
    <t>BRUSH DISPOSAL</t>
  </si>
  <si>
    <t>GARBAGE FEES - COMMERCIAL</t>
  </si>
  <si>
    <t>GARBAGE FEES - RESIDENTIAL</t>
  </si>
  <si>
    <t>COMPACTOR SERVICE</t>
  </si>
  <si>
    <t>GARBAGE SERVICE - COMMERCIAL</t>
  </si>
  <si>
    <t>GARBAGE SERVICE - RESIDENTIAL</t>
  </si>
  <si>
    <t>RECYCLING SERVICE</t>
  </si>
  <si>
    <t>M&amp;R - RECYCLING CENTER</t>
  </si>
  <si>
    <t>M&amp;R - BRUSH SITE</t>
  </si>
  <si>
    <t>PROPERTY TAX - STANDBY</t>
  </si>
  <si>
    <t>PENALTY/INTEREST - STANDBY</t>
  </si>
  <si>
    <t>INTEREST INCOME</t>
  </si>
  <si>
    <t>2007 SERIES - PRINCIPAL</t>
  </si>
  <si>
    <t>2007 SERIES - INTEREST</t>
  </si>
  <si>
    <t>2011 SERIES - INTEREST</t>
  </si>
  <si>
    <t>2011 SERIES - PRINCIPAL</t>
  </si>
  <si>
    <t>2014 SERIES - INTEREST</t>
  </si>
  <si>
    <t>2014 SERIES - PRINCIPAL</t>
  </si>
  <si>
    <t>2016 SERIES - INTEREST</t>
  </si>
  <si>
    <t>2016 SERIES - PRINCIPAL</t>
  </si>
  <si>
    <t>2019 SERIES - PRINCIPAL</t>
  </si>
  <si>
    <t>2019 SERIES - INTEREST</t>
  </si>
  <si>
    <t>2020 SERIES REF - PRINCIPAL</t>
  </si>
  <si>
    <t>2020 SERIES REF - INTEREST</t>
  </si>
  <si>
    <t>BOND AGENT FEES</t>
  </si>
  <si>
    <t>2020 SERIES REFUNDING</t>
  </si>
  <si>
    <t>2019 SERIES BOND ISSUANCE</t>
  </si>
  <si>
    <t>WATER METER PROJECTS</t>
  </si>
  <si>
    <t>CAP OUT - SEWER LINE IMPROV</t>
  </si>
  <si>
    <t>CAP OUT - WATER PLANT IMPROV</t>
  </si>
  <si>
    <t>ALLOWANCE - UNCOLLECTED ACCTS</t>
  </si>
  <si>
    <t>LEASE - COPIER</t>
  </si>
  <si>
    <t>CORRECTING ENTRY - UNIT #79</t>
  </si>
  <si>
    <t>PEG FRANCHISE FEE</t>
  </si>
  <si>
    <t>INVESTIGATION EXPENSES</t>
  </si>
  <si>
    <t>JAIL EXPENSES</t>
  </si>
  <si>
    <t>M&amp;R - WEAPONS</t>
  </si>
  <si>
    <t>MEDICAL EXPENSES</t>
  </si>
  <si>
    <t>BUILDING PERMIT FEES</t>
  </si>
  <si>
    <t>PLAT FEES</t>
  </si>
  <si>
    <t>IRRIGATION PERMIT FEES</t>
  </si>
  <si>
    <t>CONTRACTOR REGISTRATION</t>
  </si>
  <si>
    <t>ZONING FEES</t>
  </si>
  <si>
    <t>MONARCH RIDGE REIMBURSEMENT</t>
  </si>
  <si>
    <t>STR REGISTRATION FEE</t>
  </si>
  <si>
    <t>MONARCH RIDGE EXPENSES</t>
  </si>
  <si>
    <t>ADVERTISEMENTS/NOTICES</t>
  </si>
  <si>
    <t>CODE ENFORCEMENT ACTIONS</t>
  </si>
  <si>
    <t>MONARCH RIDGE PID EXPENSES</t>
  </si>
  <si>
    <t>VEHICLE REPLACEMENT</t>
  </si>
  <si>
    <t>THE HILLS POA</t>
  </si>
  <si>
    <t>PECAN CREEK POA</t>
  </si>
  <si>
    <t>APPLEHEAD POA</t>
  </si>
  <si>
    <t>APPLEHEAD ISLAND POA</t>
  </si>
  <si>
    <t>HORSESHOE BAY POA</t>
  </si>
  <si>
    <t>STREET STRIPING</t>
  </si>
  <si>
    <t>STREET MAINTENANCE</t>
  </si>
  <si>
    <t>STREET PATCHING MATERIALS</t>
  </si>
  <si>
    <t>DRAINAGE</t>
  </si>
  <si>
    <t>TRAFFIC SIGN CONTRACT</t>
  </si>
  <si>
    <t>TRAFFIC SIGN MATERIALS</t>
  </si>
  <si>
    <t>LITTER CONTROL CONTRACT</t>
  </si>
  <si>
    <t>MAILBOX MATERIALS</t>
  </si>
  <si>
    <t>STORAGE BUILDING</t>
  </si>
  <si>
    <t>02-9500-40171</t>
  </si>
  <si>
    <t>02-9500-40180</t>
  </si>
  <si>
    <t>02-9500-40182</t>
  </si>
  <si>
    <t>02-9500-40183</t>
  </si>
  <si>
    <t>02-9500-40184</t>
  </si>
  <si>
    <t>02-9500-40185</t>
  </si>
  <si>
    <t>02-9500-40187</t>
  </si>
  <si>
    <t>02-9500-40192</t>
  </si>
  <si>
    <t>02-9500-40195</t>
  </si>
  <si>
    <t>CC CONVENIENCE FEE</t>
  </si>
  <si>
    <t>02-9500-40205</t>
  </si>
  <si>
    <t>02-9500-50410</t>
  </si>
  <si>
    <t>02-9500-50411</t>
  </si>
  <si>
    <t>02-9500-50415</t>
  </si>
  <si>
    <t>02-9500-50420</t>
  </si>
  <si>
    <t>02-9500-50430</t>
  </si>
  <si>
    <t>02-9500-50432</t>
  </si>
  <si>
    <t>02-9500-50433</t>
  </si>
  <si>
    <t>02-9500-50505</t>
  </si>
  <si>
    <t>02-9500-50510</t>
  </si>
  <si>
    <t>02-9500-50545</t>
  </si>
  <si>
    <t>02-9500-50575</t>
  </si>
  <si>
    <t>02-9500-50576</t>
  </si>
  <si>
    <t>02-9500-50590</t>
  </si>
  <si>
    <t>02-9500-50592</t>
  </si>
  <si>
    <t>02-9500-50593</t>
  </si>
  <si>
    <t>02-9500-50595</t>
  </si>
  <si>
    <t>02-9500-50685</t>
  </si>
  <si>
    <t>02-9500-50753</t>
  </si>
  <si>
    <t>02-9500-50765</t>
  </si>
  <si>
    <t>02-9500-50777</t>
  </si>
  <si>
    <t>02-9500-50780</t>
  </si>
  <si>
    <t>02-9500-50828</t>
  </si>
  <si>
    <t>02-9500-50830</t>
  </si>
  <si>
    <t>02-9500-50956</t>
  </si>
  <si>
    <t>02-9500-50957</t>
  </si>
  <si>
    <t>02-9600-40165</t>
  </si>
  <si>
    <t>02-9600-40175</t>
  </si>
  <si>
    <t>02-9600-40180</t>
  </si>
  <si>
    <t>02-9600-40206</t>
  </si>
  <si>
    <t>02-9600-40207</t>
  </si>
  <si>
    <t>02-9600-40208</t>
  </si>
  <si>
    <t>02-9600-40209</t>
  </si>
  <si>
    <t>02-9600-40210</t>
  </si>
  <si>
    <t>02-9600-40212</t>
  </si>
  <si>
    <t>02-9600-50410</t>
  </si>
  <si>
    <t>02-9600-50411</t>
  </si>
  <si>
    <t>02-9600-50415</t>
  </si>
  <si>
    <t>02-9600-50420</t>
  </si>
  <si>
    <t>02-9600-50430</t>
  </si>
  <si>
    <t>02-9600-50432</t>
  </si>
  <si>
    <t>02-9600-50433</t>
  </si>
  <si>
    <t>02-9600-50590</t>
  </si>
  <si>
    <t>02-9600-50592</t>
  </si>
  <si>
    <t>02-9600-50593</t>
  </si>
  <si>
    <t>02-9600-50595</t>
  </si>
  <si>
    <t>02-9600-50630</t>
  </si>
  <si>
    <t>02-9600-50685</t>
  </si>
  <si>
    <t>02-9600-50765</t>
  </si>
  <si>
    <t>02-9600-50830</t>
  </si>
  <si>
    <t>02-9600-50853</t>
  </si>
  <si>
    <t>02-9600-50854</t>
  </si>
  <si>
    <t>02-9600-50855</t>
  </si>
  <si>
    <t>02-9600-50856</t>
  </si>
  <si>
    <t>02-9600-50857</t>
  </si>
  <si>
    <t>02-9600-50858</t>
  </si>
  <si>
    <t>02-9600-50859</t>
  </si>
  <si>
    <t>02-9600-50865</t>
  </si>
  <si>
    <t>02-9600-50867</t>
  </si>
  <si>
    <t>02-9600-50868</t>
  </si>
  <si>
    <t>02-9600-50872</t>
  </si>
  <si>
    <t>02-9600-50955</t>
  </si>
  <si>
    <t>02-9600-50956</t>
  </si>
  <si>
    <t>02-9600-50959</t>
  </si>
  <si>
    <t>02-9800-40215</t>
  </si>
  <si>
    <t>MOWING</t>
  </si>
  <si>
    <t>02-9800-40216</t>
  </si>
  <si>
    <t>CLEARING</t>
  </si>
  <si>
    <t>Development Services Expenditures</t>
  </si>
  <si>
    <t>Total Development Services Expenditures</t>
  </si>
  <si>
    <t>Street Maintenance Expenditures</t>
  </si>
  <si>
    <t>Total Street Maintenance Expenditures</t>
  </si>
  <si>
    <t>Mowing and Clearing Expenditures</t>
  </si>
  <si>
    <t>Total Mowing and Clearing Expenditures</t>
  </si>
  <si>
    <t>02-9800-50863</t>
  </si>
  <si>
    <t>LOT MOWING</t>
  </si>
  <si>
    <t>02-9800-50864</t>
  </si>
  <si>
    <t>LOT CLEARING</t>
  </si>
  <si>
    <t>02-9900-40220</t>
  </si>
  <si>
    <t>02-9999-50831</t>
  </si>
  <si>
    <t>02-9999-50961</t>
  </si>
  <si>
    <t>CAP OUT - STREET UPGRADE</t>
  </si>
  <si>
    <t>Escondido Fund Revenues</t>
  </si>
  <si>
    <t>04-1000-40224</t>
  </si>
  <si>
    <t>04</t>
  </si>
  <si>
    <t>PID ASSESSMENT</t>
  </si>
  <si>
    <t>Total Escondido Fund Revenues</t>
  </si>
  <si>
    <t>Escondido Fund Expenditures</t>
  </si>
  <si>
    <t>04-1000-50622</t>
  </si>
  <si>
    <t>04-1000-50690</t>
  </si>
  <si>
    <t>INTEREST PAYMENT</t>
  </si>
  <si>
    <t>PRINCIPAL PAYMENT</t>
  </si>
  <si>
    <t>04-1000-50691</t>
  </si>
  <si>
    <t>MUNICAP EXPENSES</t>
  </si>
  <si>
    <t>04-1000-50840</t>
  </si>
  <si>
    <t>Administration</t>
  </si>
  <si>
    <t>Total Administration</t>
  </si>
  <si>
    <t>Interest</t>
  </si>
  <si>
    <t>04-9900-40220</t>
  </si>
  <si>
    <t>Total Interest</t>
  </si>
  <si>
    <t>Bonds</t>
  </si>
  <si>
    <t>04-9999-40300</t>
  </si>
  <si>
    <t>04-9999-40301</t>
  </si>
  <si>
    <t>BOND PREMIUM</t>
  </si>
  <si>
    <t>04-9999-50534</t>
  </si>
  <si>
    <t>2020 SERIES BOND ISSUANCE COST</t>
  </si>
  <si>
    <t>04-9999-50599</t>
  </si>
  <si>
    <t>PAYMENT TO ESCROW</t>
  </si>
  <si>
    <t>Total Bonds</t>
  </si>
  <si>
    <t>Total Escondido Fund Expenditures</t>
  </si>
  <si>
    <t>Net Revenues over (Expenditures)</t>
  </si>
  <si>
    <t>Fund Balance - Beginning</t>
  </si>
  <si>
    <t>Fund Balance - Transfer Out</t>
  </si>
  <si>
    <t>Fund Balance - Ending</t>
  </si>
  <si>
    <t>05-1000-40220</t>
  </si>
  <si>
    <t>05-1000-40224</t>
  </si>
  <si>
    <t>05-1000-50622</t>
  </si>
  <si>
    <t>05-1000-50835</t>
  </si>
  <si>
    <t>PID REFUNDS</t>
  </si>
  <si>
    <t>05-9900-40220</t>
  </si>
  <si>
    <t>Summit Rock Fund Revenues</t>
  </si>
  <si>
    <t>Total Summit Rock Fund Revenues</t>
  </si>
  <si>
    <t>Summit Rock Fund Expenditures</t>
  </si>
  <si>
    <t>Total Summit Rock Fund Expenditures</t>
  </si>
  <si>
    <t>Seizure Fund Revenues</t>
  </si>
  <si>
    <t>PD SEIZURE FUNDS</t>
  </si>
  <si>
    <t>06-8000-40169</t>
  </si>
  <si>
    <t>06-9900-40169</t>
  </si>
  <si>
    <t>06-9900-40220</t>
  </si>
  <si>
    <t>Total Seizure Fund Revenues</t>
  </si>
  <si>
    <t>Seizure Fund Expenditures</t>
  </si>
  <si>
    <t>06-8000-50592</t>
  </si>
  <si>
    <t>Total Seizure Fund Expenditures</t>
  </si>
  <si>
    <t>07-7000-40180</t>
  </si>
  <si>
    <t>07-9900-40220</t>
  </si>
  <si>
    <t>TRANSFER IN</t>
  </si>
  <si>
    <t>07-9999-40220</t>
  </si>
  <si>
    <t>07-9999-40300</t>
  </si>
  <si>
    <t>07-9999-40301</t>
  </si>
  <si>
    <t>07-9999-40310</t>
  </si>
  <si>
    <t>TRANSFER IN - GEN</t>
  </si>
  <si>
    <t>07-9999-50534</t>
  </si>
  <si>
    <t>07-9999-50535</t>
  </si>
  <si>
    <t>2022 SERIES BOND ISSUANCE COST</t>
  </si>
  <si>
    <t>07-9999-50959</t>
  </si>
  <si>
    <t>07-9999-50961</t>
  </si>
  <si>
    <t>CAPITAL OUTLAY</t>
  </si>
  <si>
    <t>07-9999-50965</t>
  </si>
  <si>
    <t>CAP OUT - STREET SEAL COATING</t>
  </si>
  <si>
    <t>07-9999-50970</t>
  </si>
  <si>
    <t>CAP OUT - PRE CONSTRUCTION</t>
  </si>
  <si>
    <t>07-9999-50971</t>
  </si>
  <si>
    <t>CAP OUT - CITY CENTER</t>
  </si>
  <si>
    <t>Capital Outlay Fund Revenues</t>
  </si>
  <si>
    <t>Total Capital Outlay Fund Revenues</t>
  </si>
  <si>
    <t>Capital Outlay Fund Expenditures</t>
  </si>
  <si>
    <t>Total Capital Outlay Fund Expenditures</t>
  </si>
  <si>
    <t>Debt Service Fund Revenues</t>
  </si>
  <si>
    <t>08-7000-40150</t>
  </si>
  <si>
    <t>PROPERTY TAX (I&amp;S)</t>
  </si>
  <si>
    <t>08-7000-40152</t>
  </si>
  <si>
    <t>PENALTY/INTEREST (I&amp;S)</t>
  </si>
  <si>
    <t>08-7000-40180</t>
  </si>
  <si>
    <t>08-9900-40220</t>
  </si>
  <si>
    <t>08-9900-40300</t>
  </si>
  <si>
    <t>08-9900-40398</t>
  </si>
  <si>
    <t>Debt Service</t>
  </si>
  <si>
    <t>Debt Service Fund Expenditures</t>
  </si>
  <si>
    <t>08-9994-50518</t>
  </si>
  <si>
    <t>08-9994-50520</t>
  </si>
  <si>
    <t>08-9994-50521</t>
  </si>
  <si>
    <t>08-9994-50522</t>
  </si>
  <si>
    <t>08-9994-50523</t>
  </si>
  <si>
    <t>08-9994-50524</t>
  </si>
  <si>
    <t>08-9994-50529</t>
  </si>
  <si>
    <t>08-9994-50530</t>
  </si>
  <si>
    <t>08-9994-50531</t>
  </si>
  <si>
    <t>2020 SERIES - INTEREST</t>
  </si>
  <si>
    <t>08-9994-50532</t>
  </si>
  <si>
    <t>2020 SERIES - PRINCIPAL</t>
  </si>
  <si>
    <t>08-9994-50533</t>
  </si>
  <si>
    <t>08-9994-50534</t>
  </si>
  <si>
    <t>2022 SERIES - INTEREST</t>
  </si>
  <si>
    <t>08-9994-50535</t>
  </si>
  <si>
    <t>2022 SERIES - PRINCIPAL</t>
  </si>
  <si>
    <t>08-9994-50998</t>
  </si>
  <si>
    <t>ISSUANCE COSTS</t>
  </si>
  <si>
    <t>08-9994-50999</t>
  </si>
  <si>
    <t>PAYMENT TO ESCROW AGENT</t>
  </si>
  <si>
    <t>Total Debt Service Fund Revenues</t>
  </si>
  <si>
    <t>Total Debt Service Fund Expenditures</t>
  </si>
  <si>
    <t>01-1000-40180</t>
  </si>
  <si>
    <t>01-1000-40173</t>
  </si>
  <si>
    <t>01-1000-40175</t>
  </si>
  <si>
    <t>01-1000-40181</t>
  </si>
  <si>
    <t>01-1000-40182</t>
  </si>
  <si>
    <t>01-1000-40188</t>
  </si>
  <si>
    <t>TRANSFERS IN</t>
  </si>
  <si>
    <t>01-1000-40195</t>
  </si>
  <si>
    <t>01-1000-40203</t>
  </si>
  <si>
    <t>01-1000-40204</t>
  </si>
  <si>
    <t>01-1000-40205</t>
  </si>
  <si>
    <t>01-1000-40225</t>
  </si>
  <si>
    <t>01-1000-40226</t>
  </si>
  <si>
    <t>01-1000-40507</t>
  </si>
  <si>
    <t>Compensated Absences Fund Expenditures</t>
  </si>
  <si>
    <t>13-1000-52000</t>
  </si>
  <si>
    <t>13-3000-52000</t>
  </si>
  <si>
    <t>13-5000-52000</t>
  </si>
  <si>
    <t>13-8000-52000</t>
  </si>
  <si>
    <t>13-9000-52000</t>
  </si>
  <si>
    <t>13-9500-52000</t>
  </si>
  <si>
    <t>13-9600-52000</t>
  </si>
  <si>
    <t>Total Compensated Absences Fund Expenditures</t>
  </si>
  <si>
    <t>14-1000-40180</t>
  </si>
  <si>
    <t>14-1000-40507</t>
  </si>
  <si>
    <t>14-1000-51000</t>
  </si>
  <si>
    <t>14-5000-51000</t>
  </si>
  <si>
    <t>14-8000-51000</t>
  </si>
  <si>
    <t>14-9500-51000</t>
  </si>
  <si>
    <t>14-9600-51000</t>
  </si>
  <si>
    <t>Fixed Assets Fund Revenues</t>
  </si>
  <si>
    <t>Total Fixed Assets Fund Revenues</t>
  </si>
  <si>
    <t>Total Fixed Assets Fund Expenditures</t>
  </si>
  <si>
    <t>Fixed Assets Fund Expenditures</t>
  </si>
  <si>
    <t>Total Debt Service</t>
  </si>
  <si>
    <t>Child Safety Fund Revenues</t>
  </si>
  <si>
    <t>16-9999-40200</t>
  </si>
  <si>
    <t>16-9999-50820</t>
  </si>
  <si>
    <t>16-9999-50831</t>
  </si>
  <si>
    <t>Total Child Safety Fund Revenues</t>
  </si>
  <si>
    <t>Child Safety Fund Expenditures</t>
  </si>
  <si>
    <t>Total Child Safety Fund Expenditures</t>
  </si>
  <si>
    <t>17-9999-40196</t>
  </si>
  <si>
    <t>17-9999-50821</t>
  </si>
  <si>
    <t>17-9999-50831</t>
  </si>
  <si>
    <t>Court Technology Fund Revenues</t>
  </si>
  <si>
    <t>Total Court Technology Fund Revenues</t>
  </si>
  <si>
    <t>Court Technology Fund Expenditures</t>
  </si>
  <si>
    <t>Total Court Technology Fund Expenditures</t>
  </si>
  <si>
    <t>18-9999-40197</t>
  </si>
  <si>
    <t>18-9999-50822</t>
  </si>
  <si>
    <t>18-9999-50831</t>
  </si>
  <si>
    <t>19-9999-40195</t>
  </si>
  <si>
    <t>IMPACT FEE</t>
  </si>
  <si>
    <t>Total Impact Fees Fund Revenues</t>
  </si>
  <si>
    <t>Fire Dept</t>
  </si>
  <si>
    <t>Emerg Service District</t>
  </si>
  <si>
    <t>Taxes/Franchise Fees</t>
  </si>
  <si>
    <t>Police Dept</t>
  </si>
  <si>
    <t>Development Services</t>
  </si>
  <si>
    <t>Street Maintenance</t>
  </si>
  <si>
    <t>Mowing and Clearing</t>
  </si>
  <si>
    <t>Total General Fund Revenues</t>
  </si>
  <si>
    <t>General Fund Expenditures</t>
  </si>
  <si>
    <t>IT</t>
  </si>
  <si>
    <t>Animal Control</t>
  </si>
  <si>
    <t>Total General Fund Expenditures</t>
  </si>
  <si>
    <t>Water Production</t>
  </si>
  <si>
    <t>Wastewater Treatment</t>
  </si>
  <si>
    <t>Standby</t>
  </si>
  <si>
    <t>Water Distribution</t>
  </si>
  <si>
    <t>Wastewater Collection</t>
  </si>
  <si>
    <t>Solid Waste Recycling</t>
  </si>
  <si>
    <t>Utilities Fund Revenues</t>
  </si>
  <si>
    <t>Total Utilities Fund Revenues</t>
  </si>
  <si>
    <t>Utilities Fund Expenditures</t>
  </si>
  <si>
    <t>Total Utilities Fund Expenditures</t>
  </si>
  <si>
    <t>01-1000-50576</t>
  </si>
  <si>
    <t>FINANCE</t>
  </si>
  <si>
    <t>DEPARTMENT</t>
  </si>
  <si>
    <t>INTEREST INCOME (DNU)</t>
  </si>
  <si>
    <t>ACCRUED LEAVE - ADMIN</t>
  </si>
  <si>
    <t>ACCRUED LEAVE - IT</t>
  </si>
  <si>
    <t>ACCRUED LEAVE - FIRE</t>
  </si>
  <si>
    <t>ACCRUED LEAVE - POLICE</t>
  </si>
  <si>
    <t>COMMENTS</t>
  </si>
  <si>
    <t>Rescue Tools</t>
  </si>
  <si>
    <t>Executive Assistant to City Manger $115k salary and benefits</t>
  </si>
  <si>
    <t>02-9000-50412</t>
  </si>
  <si>
    <t>Three full-time salaries - $34.5k increase to switch part-time to full</t>
  </si>
  <si>
    <t>01-3001-50412</t>
  </si>
  <si>
    <t>ACCRUED LEAVE - AC</t>
  </si>
  <si>
    <t>ACCRUED LEAVE - DEV SERV</t>
  </si>
  <si>
    <t>ACCRUED LEAVE - STREETS</t>
  </si>
  <si>
    <t>RECORD DEPRECIATION ADM</t>
  </si>
  <si>
    <t>RECORD DEPRECIATION FD</t>
  </si>
  <si>
    <t>RECORD DEPRECIATION PD</t>
  </si>
  <si>
    <t>RECORD DEPRECIATION DEV</t>
  </si>
  <si>
    <t>RECORD DEPRECIATION STR</t>
  </si>
  <si>
    <t>Anticipated increase due to Eclipse 2024 event</t>
  </si>
  <si>
    <t>Janitorial increase, Axon contract renewal increase (fleet cameras)</t>
  </si>
  <si>
    <t>Jail agreement cost increases</t>
  </si>
  <si>
    <t>Add firearms, computers, cameras, radios for FY 2025 patrol increase, equipment for Comm, Eclipse '24</t>
  </si>
  <si>
    <t>Better contract for the distpatching</t>
  </si>
  <si>
    <t>Aging patrol fleet, all warranties expired and significant increase in tire prices</t>
  </si>
  <si>
    <t>Supply prices increase</t>
  </si>
  <si>
    <t>Item prices increase</t>
  </si>
  <si>
    <t>Vehicles 105k, Boat 31k, Radar Trailer replacement (2004 model) 23k</t>
  </si>
  <si>
    <t>No line item for part time when worksheets were handed out</t>
  </si>
  <si>
    <t>Gear pricing increase</t>
  </si>
  <si>
    <t>Anticipated fuel increase and additional fleet vehicle added</t>
  </si>
  <si>
    <t>Confirmed pricing increase</t>
  </si>
  <si>
    <t>Trend increasing annually plus significant repair price increase</t>
  </si>
  <si>
    <t>EMS Equipment expendables pricing increase</t>
  </si>
  <si>
    <t>Discussion on Engine</t>
  </si>
  <si>
    <t>Discussion on potential FS2 Shortfall issues</t>
  </si>
  <si>
    <t>Move one part time to full time firefighter</t>
  </si>
  <si>
    <t>02-1000-50812</t>
  </si>
  <si>
    <t>PUBLIC CAMPAIGNS</t>
  </si>
  <si>
    <t>New line for communications director</t>
  </si>
  <si>
    <t>10,000 - CS</t>
  </si>
  <si>
    <t>19,650 - CS</t>
  </si>
  <si>
    <t>2,010 - CS</t>
  </si>
  <si>
    <t>8K - Communications; 3k - City Secretary</t>
  </si>
  <si>
    <t>3,000 - CS</t>
  </si>
  <si>
    <t>5,000 - CS</t>
  </si>
  <si>
    <t>Additional visits from Pall Corp to optimize plant specs</t>
  </si>
  <si>
    <t>Contract with Hach and generator maintenance agreement</t>
  </si>
  <si>
    <t>Environmental training for plant ops. Management training for supervisors</t>
  </si>
  <si>
    <t>12k - 2 gators; 9k - ranger; 22k - 2 F150s</t>
  </si>
  <si>
    <t>150 taps 5,200 each</t>
  </si>
  <si>
    <t>140 taps 5,000 each</t>
  </si>
  <si>
    <t>140 grinder packages, 4,550 each</t>
  </si>
  <si>
    <t>Raise fees or lower amount processes without charging</t>
  </si>
  <si>
    <t>Utilities Superintendent - $127.5K salary and benefts; Move Rebecca to Plants</t>
  </si>
  <si>
    <t>CUSTOMER EDUCATION COMMITTEE</t>
  </si>
  <si>
    <t>INNOVATION/TECH COMMITTEE</t>
  </si>
  <si>
    <t>01-1000-50567</t>
  </si>
  <si>
    <t>01-1000-50569</t>
  </si>
  <si>
    <t>New line item for committee expenses</t>
  </si>
  <si>
    <t>Each department will have a line</t>
  </si>
  <si>
    <t>Str8 Grade engineering for creek crossings and other projects</t>
  </si>
  <si>
    <t>Digital radios</t>
  </si>
  <si>
    <t>Water flushing devices. Formerly in capital projects</t>
  </si>
  <si>
    <t>Expense triggered at percentages. May or may not be used each year.</t>
  </si>
  <si>
    <t>One extra position</t>
  </si>
  <si>
    <t>Did not use as much with newer equipment. Now going back to historical values.</t>
  </si>
  <si>
    <t>01-2001-50670</t>
  </si>
  <si>
    <t>Moved Rebecca from Admin to Prod/Treat</t>
  </si>
  <si>
    <t>Estimated use of 2750 acre/ft 1700 acre/ft in reserve</t>
  </si>
  <si>
    <t>Extra vehicle</t>
  </si>
  <si>
    <t>01-1001-50630</t>
  </si>
  <si>
    <t>01-1001-50650</t>
  </si>
  <si>
    <t>Split from Administration</t>
  </si>
  <si>
    <t>Added maintenance for generators 25k</t>
  </si>
  <si>
    <t>M&amp;R - SCADA</t>
  </si>
  <si>
    <t>01-1001-50641</t>
  </si>
  <si>
    <t>New line item</t>
  </si>
  <si>
    <t>Replace harnesses, face shields, PPE for chemical exposure</t>
  </si>
  <si>
    <t>Additional operator. Replace winter/rain gear</t>
  </si>
  <si>
    <t>Based on 150 taps at 3166.67 each</t>
  </si>
  <si>
    <t>01-1002-50630</t>
  </si>
  <si>
    <t>01-1002-50651</t>
  </si>
  <si>
    <t>Price increases - supply chain issues</t>
  </si>
  <si>
    <t>Based on 150 taps at 2,000 each</t>
  </si>
  <si>
    <t>Cost increase due to different procedure being used</t>
  </si>
  <si>
    <t>Move Robert to Admin</t>
  </si>
  <si>
    <t>Field Operator - $33k salary and benefits; Robert to Admin</t>
  </si>
  <si>
    <t>140 new construction at 3,900 each</t>
  </si>
  <si>
    <t>Moved to Treatment</t>
  </si>
  <si>
    <t>01-2002-50630</t>
  </si>
  <si>
    <t>01-2002-50650</t>
  </si>
  <si>
    <t>New line split from Administration</t>
  </si>
  <si>
    <t>M&amp;R - GRINDER PANELS</t>
  </si>
  <si>
    <t>01-2002-50647</t>
  </si>
  <si>
    <t>New line split from Grinder Pumps</t>
  </si>
  <si>
    <t>Line split into two categories with new line item for panels</t>
  </si>
  <si>
    <t>140 new construction at 1,700 each</t>
  </si>
  <si>
    <t>Disaster response 45k</t>
  </si>
  <si>
    <t>10,246 - CS 1,750 CS TML</t>
  </si>
  <si>
    <t>7,000 - CS 10,000 TML</t>
  </si>
  <si>
    <t>10% increase as TML warned</t>
  </si>
  <si>
    <t>Move to Public Works</t>
  </si>
  <si>
    <t>Moved from Administration</t>
  </si>
  <si>
    <t>Offset by revenue account</t>
  </si>
  <si>
    <t>New Edge, Nearmaps, Auto Cad, Eseri, MGO, Granicus</t>
  </si>
  <si>
    <t>This includes MGO on site training</t>
  </si>
  <si>
    <t>Required public notices</t>
  </si>
  <si>
    <t>Office Chairs</t>
  </si>
  <si>
    <t>02-9500-50812</t>
  </si>
  <si>
    <t>New line item for campaigns</t>
  </si>
  <si>
    <t>Outreach</t>
  </si>
  <si>
    <t>05</t>
  </si>
  <si>
    <t>06</t>
  </si>
  <si>
    <t>07</t>
  </si>
  <si>
    <t>08</t>
  </si>
  <si>
    <t>2023 SERIES - INTEREST</t>
  </si>
  <si>
    <t>2023 SERIES - PRINCIPAL</t>
  </si>
  <si>
    <t>08-9994-50537</t>
  </si>
  <si>
    <t>08-9994-50538</t>
  </si>
  <si>
    <t>$ CHANGE</t>
  </si>
  <si>
    <t>VERSUS</t>
  </si>
  <si>
    <t>23 BUDGET</t>
  </si>
  <si>
    <t>% CHANGE</t>
  </si>
  <si>
    <t>23 ESTIMATE</t>
  </si>
  <si>
    <t>Only charged on older citations</t>
  </si>
  <si>
    <t>Only applied to older citations with warrants issued</t>
  </si>
  <si>
    <t>Moved to other fund per legislation</t>
  </si>
  <si>
    <t>Offsets with 02-1000-50955 as part of GASB 87 for leases</t>
  </si>
  <si>
    <t>Sales tax total will be high this year for correction</t>
  </si>
  <si>
    <t>Two of four received so far</t>
  </si>
  <si>
    <t>Opiod settlement was received during the year but no way to know if it will continue</t>
  </si>
  <si>
    <t>Sale of large scanner</t>
  </si>
  <si>
    <t>Switched Jan 1 so only 75% during FY 23</t>
  </si>
  <si>
    <t>Based on what current year gets spent but will probably keep dropping</t>
  </si>
  <si>
    <t>Annual Traffic Counts $10k/ Eng designs $50k from  Committee</t>
  </si>
  <si>
    <t>Reclassifying office expenses as leases to comply with GASB 87</t>
  </si>
  <si>
    <t>Expenses moved to separate fund</t>
  </si>
  <si>
    <t>City no longer uses collection agency for courts</t>
  </si>
  <si>
    <t>LEASES - INTEREST</t>
  </si>
  <si>
    <t>LEASES - PRINCIPAL</t>
  </si>
  <si>
    <t>Extra fees and subscriptions for added employees and services</t>
  </si>
  <si>
    <t>Extra added for eclipse</t>
  </si>
  <si>
    <t>New line item for part time employees</t>
  </si>
  <si>
    <t>20,000 - CS Lots of architect fees dropped off but CS will need more for records</t>
  </si>
  <si>
    <t>Leases per GASB 87 and still trying to get a proper mechanic from auditor</t>
  </si>
  <si>
    <t>CP - CITY CENTER</t>
  </si>
  <si>
    <t>CP - FIRE STATION</t>
  </si>
  <si>
    <t>CP - STREET SEAL COAT</t>
  </si>
  <si>
    <t>07-9999-50930</t>
  </si>
  <si>
    <t>BOND ISSUANCE COSTS</t>
  </si>
  <si>
    <t>CP - PARK IMPROVEMENTS</t>
  </si>
  <si>
    <t>CP - STREET RECONSTRUCT</t>
  </si>
  <si>
    <t>07-9999-57001</t>
  </si>
  <si>
    <t>07-9999-57002</t>
  </si>
  <si>
    <t>07-9999-57003</t>
  </si>
  <si>
    <t>07-9999-57004</t>
  </si>
  <si>
    <t>07-9999-57005</t>
  </si>
  <si>
    <t>GIS/Pavement asset management training</t>
  </si>
  <si>
    <t>Paving indexing asset management</t>
  </si>
  <si>
    <t>Reimburse from Llano. Budget will depend on what we get this year</t>
  </si>
  <si>
    <t>Full year instead of 75%</t>
  </si>
  <si>
    <t>Total Expenditures by Fund</t>
  </si>
  <si>
    <t>3% growth rate</t>
  </si>
  <si>
    <t>Repaid 2022 in current year 23; 3 wireless towers lease</t>
  </si>
  <si>
    <t xml:space="preserve">11% Increase due to WM </t>
  </si>
  <si>
    <t>11% Increase due to WM  plus 3% growth</t>
  </si>
  <si>
    <t>Split between Distribution</t>
  </si>
  <si>
    <t>11% per WM increase</t>
  </si>
  <si>
    <t>11% per WM increase; 3% growth</t>
  </si>
  <si>
    <t>TAX YEAR</t>
  </si>
  <si>
    <t>TOTAL</t>
  </si>
  <si>
    <t>M &amp; O</t>
  </si>
  <si>
    <t>I &amp; S</t>
  </si>
  <si>
    <t>TAX RATE</t>
  </si>
  <si>
    <t>LLANO COUNTY</t>
  </si>
  <si>
    <t>BURNET COUNTY</t>
  </si>
  <si>
    <t>APPROVED TAX ROLL ASSESSED VALUE</t>
  </si>
  <si>
    <t>TAX LEVY</t>
  </si>
  <si>
    <t>TAX RATE HISTORY TABLE</t>
  </si>
  <si>
    <t>More penalties this year but will remain conservative</t>
  </si>
  <si>
    <t>Historical numbers only</t>
  </si>
  <si>
    <t>07-9999-57006</t>
  </si>
  <si>
    <t>CP - CITY HALL REPAIRS</t>
  </si>
  <si>
    <t>XFER FROM - UTILITIES FUND</t>
  </si>
  <si>
    <t>XFER FROM - GENERAL FUND</t>
  </si>
  <si>
    <t>XFER FROM - ESCONDIDO FUND</t>
  </si>
  <si>
    <t>XFER FROM - SUMMIT ROCK FUND</t>
  </si>
  <si>
    <t>XFER FROM - SEIZURE FUND</t>
  </si>
  <si>
    <t>XFER FROM - CAP PROJ FUND</t>
  </si>
  <si>
    <t>XFER FROM - DEBT FUND</t>
  </si>
  <si>
    <t>XFER FROM - MC SAFETY FUND</t>
  </si>
  <si>
    <t>XFER FROM - MC TECH FUND</t>
  </si>
  <si>
    <t>XFER FROM - MC SECURITY FUND</t>
  </si>
  <si>
    <t>XFER FROM - IMPACT FEE FUND</t>
  </si>
  <si>
    <t>XFER FROM - FUND BALANCE</t>
  </si>
  <si>
    <t>XFER TO - UTILITIES FUND</t>
  </si>
  <si>
    <t>XFER TO - GENERAL FUND</t>
  </si>
  <si>
    <t>XFER TO - ESCONDIDO FUND</t>
  </si>
  <si>
    <t>XFER TO - SUMMIT ROCK FUND</t>
  </si>
  <si>
    <t>XFER TO - SEIZURE FUND</t>
  </si>
  <si>
    <t>XFER TO - CAP PROJ FUND</t>
  </si>
  <si>
    <t>XFER TO - DEBT FUND</t>
  </si>
  <si>
    <t>XFER TO - MC SAFETY FUND</t>
  </si>
  <si>
    <t>XFER TO - MC TECH FUND</t>
  </si>
  <si>
    <t>XFER TO - MC SECURITY FUND</t>
  </si>
  <si>
    <t>XFER TO - IMPACT FEE FUND</t>
  </si>
  <si>
    <t>XFER TO - FUND BALANCE</t>
  </si>
  <si>
    <t>Transfers</t>
  </si>
  <si>
    <t>07-9999-48999</t>
  </si>
  <si>
    <t>5 YEAR CAPITAL IMPROVEMENT/NEEDS ASSESSMENT PLAN</t>
  </si>
  <si>
    <t>FY 2024 - FY 2028 (FY 2023 for reference)</t>
  </si>
  <si>
    <t>GENERAL FUND</t>
  </si>
  <si>
    <t>FY 2025</t>
  </si>
  <si>
    <t>FY 2026</t>
  </si>
  <si>
    <t>FY 2027</t>
  </si>
  <si>
    <t>FY 2028</t>
  </si>
  <si>
    <t>Replacement of 7 Patrol MDCs</t>
  </si>
  <si>
    <t>Water Meter Replacement Program</t>
  </si>
  <si>
    <t>Heavy Equipment Replacement</t>
  </si>
  <si>
    <t>Security System</t>
  </si>
  <si>
    <t>Utility Capital Reserve Fund</t>
  </si>
  <si>
    <t>Summit Rock Lift Station</t>
  </si>
  <si>
    <t>Blister Gold Lift Station Rehabilitation</t>
  </si>
  <si>
    <t>Trails Lift Station Rehabilitation</t>
  </si>
  <si>
    <t>Towers for Internet Project (Llano County ARPA)</t>
  </si>
  <si>
    <t>Water Storage Tanks  Rehabilitation</t>
  </si>
  <si>
    <t>CAPITAL PROJECTS FUND</t>
  </si>
  <si>
    <t>Sealcoating Projects</t>
  </si>
  <si>
    <t>Street Upgrades</t>
  </si>
  <si>
    <t>Emergency Equipment Replacement</t>
  </si>
  <si>
    <t>Admin</t>
  </si>
  <si>
    <t>DEPT</t>
  </si>
  <si>
    <t>PD</t>
  </si>
  <si>
    <t>DEV</t>
  </si>
  <si>
    <t>FD</t>
  </si>
  <si>
    <t>Vehicle Replacement</t>
  </si>
  <si>
    <t>Radar Trailer Replacement</t>
  </si>
  <si>
    <t>Patrol Boat Re-engine</t>
  </si>
  <si>
    <t>Vehicle Replacement for Code Compliance Officer</t>
  </si>
  <si>
    <t>Vehicle for Inspector</t>
  </si>
  <si>
    <t>Vehicle Replacement for Police</t>
  </si>
  <si>
    <t>Brush Truck Replacement for Fire</t>
  </si>
  <si>
    <t>Vehicle Replacement for Fire</t>
  </si>
  <si>
    <t>Rescue Tool Replacement</t>
  </si>
  <si>
    <t>Fire Apparatus Purchase</t>
  </si>
  <si>
    <t>UTILITY FUND (ROUTINE)</t>
  </si>
  <si>
    <t>Drought Tolerant Demo Garden (CH &amp; UTADM)</t>
  </si>
  <si>
    <t>UTV Replacements (Recycle Center)</t>
  </si>
  <si>
    <t>Equipment Trailer (Field)</t>
  </si>
  <si>
    <t>Vehicle for Maintenance Tech</t>
  </si>
  <si>
    <t>Obsolete Grinder Systems (Replace 30 Units)</t>
  </si>
  <si>
    <t>Obsolete Fire Hydrants (Replace 5 Units)</t>
  </si>
  <si>
    <t>Office Expansion (Plant Maint Tech)</t>
  </si>
  <si>
    <t>SCADA Comms Upgrades</t>
  </si>
  <si>
    <t>Hazard Mitigation Grant - Elevation of Water Intake</t>
  </si>
  <si>
    <t>Disaster Response Emergency Fund</t>
  </si>
  <si>
    <t>UTILITY FUND (MAJOR)</t>
  </si>
  <si>
    <t>Pond Liner - STP</t>
  </si>
  <si>
    <t>Sludge Removal - STP</t>
  </si>
  <si>
    <t>Clarifier Rehabilitation - CWTP</t>
  </si>
  <si>
    <t>Chemical Storage/Pumping Upgrade - WWTP</t>
  </si>
  <si>
    <t>Utilities/PW Service Center (Land)</t>
  </si>
  <si>
    <t>Engineering and Expansion - West</t>
  </si>
  <si>
    <t>Water Mainline Improvements</t>
  </si>
  <si>
    <t>Engineering and Expansion - Central</t>
  </si>
  <si>
    <t>Pump Station/Interconnect - Hi Cir South</t>
  </si>
  <si>
    <t>Redesign and Expansion - Reclamation</t>
  </si>
  <si>
    <t>Engineering - STP Expansion</t>
  </si>
  <si>
    <t>5 YEAR STAFFING NEEDS ASSESSMENT PLAN</t>
  </si>
  <si>
    <t>ANNUAL SALARY</t>
  </si>
  <si>
    <t>POSITION (GENERAL FUND)</t>
  </si>
  <si>
    <t>Finance</t>
  </si>
  <si>
    <t>FY 2024 - FY 2028</t>
  </si>
  <si>
    <t>Executive Assistant to City Manager</t>
  </si>
  <si>
    <t>Firefighter (3 PT in FY 23)</t>
  </si>
  <si>
    <t>Fire</t>
  </si>
  <si>
    <t>Police</t>
  </si>
  <si>
    <t>Building Official/Reviewer</t>
  </si>
  <si>
    <t>Dev Serv</t>
  </si>
  <si>
    <t>Building Inspector</t>
  </si>
  <si>
    <t>Permit Tech</t>
  </si>
  <si>
    <t>Planner</t>
  </si>
  <si>
    <t>GIS Tech</t>
  </si>
  <si>
    <t>POSITION (UTILITIES FUND)</t>
  </si>
  <si>
    <t>Maintenance Operator</t>
  </si>
  <si>
    <t>Field</t>
  </si>
  <si>
    <t>Recycle</t>
  </si>
  <si>
    <t>General Fund Revenue Forecast</t>
  </si>
  <si>
    <t>Property Taxes</t>
  </si>
  <si>
    <t>Property Taxes - P&amp;I</t>
  </si>
  <si>
    <t>Sales Taxes</t>
  </si>
  <si>
    <t>Mixed Beverage Taxes</t>
  </si>
  <si>
    <t>Emergency Services</t>
  </si>
  <si>
    <t>Franchise Fees</t>
  </si>
  <si>
    <t>Municipal Court</t>
  </si>
  <si>
    <t>Mowing &amp; Clearing</t>
  </si>
  <si>
    <t>Miscellaneous</t>
  </si>
  <si>
    <t>General Fund Expenditure Forecast</t>
  </si>
  <si>
    <t>Personnel Costs</t>
  </si>
  <si>
    <t>Operating Expenses</t>
  </si>
  <si>
    <t>Routine Capital Expenses</t>
  </si>
  <si>
    <t>Revenues less  Expenditures</t>
  </si>
  <si>
    <t>Estimated Ending Fund Balance</t>
  </si>
  <si>
    <t>Est. Property Tax Rate:</t>
  </si>
  <si>
    <t>Capital Outlays - Routine</t>
  </si>
  <si>
    <t>Capital Outlays - Major</t>
  </si>
  <si>
    <t>Deputy City Secretary</t>
  </si>
  <si>
    <t>Firefighter - Full Time (Changing one per year)</t>
  </si>
  <si>
    <t>Patrol Officer (1 mid-year and 1 full-year)</t>
  </si>
  <si>
    <t>Accountant</t>
  </si>
  <si>
    <t>Utilities Superintendent</t>
  </si>
  <si>
    <t>Warehouse Technician</t>
  </si>
  <si>
    <t>Water Quality Technician</t>
  </si>
  <si>
    <t>Plant</t>
  </si>
  <si>
    <t>Transfer to Capital Projects</t>
  </si>
  <si>
    <t>Estimated Beginning Fund Balance</t>
  </si>
  <si>
    <t>Estimated Restricted Fund Balance - Reserve</t>
  </si>
  <si>
    <t>Estimated Restricted Fund Balance - PEG Fees</t>
  </si>
  <si>
    <t>Estimated Restricted Fund Balance - Fuchs House</t>
  </si>
  <si>
    <t>Estimated Restricted Fund Balance - Building Construction</t>
  </si>
  <si>
    <t>Estimated Unassigned Fund Balance</t>
  </si>
  <si>
    <t>Maintenance Crew Lead (Reclass FY24, add FY26)</t>
  </si>
  <si>
    <t>Recycle Monitor (Reclass P/T to F/T)</t>
  </si>
  <si>
    <t>Lead Recycle Monitor (Reclass monitor)</t>
  </si>
  <si>
    <t>Regulatory and Compliance Assistant (Reclass)</t>
  </si>
  <si>
    <t>$0.270000/$100</t>
  </si>
  <si>
    <t>FY 20 Actual</t>
  </si>
  <si>
    <t>FY 21 Actual</t>
  </si>
  <si>
    <t>FY 22 Actual</t>
  </si>
  <si>
    <t>FY 23 Estimated</t>
  </si>
  <si>
    <t>FY 24 Budgeted</t>
  </si>
  <si>
    <t>FY 25 Projected</t>
  </si>
  <si>
    <t>FY 26 Projected</t>
  </si>
  <si>
    <t>FY 27 Projected</t>
  </si>
  <si>
    <t>FY 28 Projected</t>
  </si>
  <si>
    <t>General Fund Balance Forecast</t>
  </si>
  <si>
    <t>Water Service Revenue</t>
  </si>
  <si>
    <t>Wastewater Service Revenue</t>
  </si>
  <si>
    <t>Solid Waste Service Revenue</t>
  </si>
  <si>
    <t>Other Revenue</t>
  </si>
  <si>
    <t>Debt Service Obligations</t>
  </si>
  <si>
    <t>Major Capital Projects</t>
  </si>
  <si>
    <t>3 Months Personnel/Operating Expenses</t>
  </si>
  <si>
    <t>Est. Annual Rate Increase %</t>
  </si>
  <si>
    <t>02-1000-50566</t>
  </si>
  <si>
    <t>HISTORICAL COMMITTEE</t>
  </si>
  <si>
    <t>New line item for committee starting with signage</t>
  </si>
  <si>
    <t>Utilities Fund Balance Forecast</t>
  </si>
  <si>
    <t>Utilities Fund Expenditure Forecast</t>
  </si>
  <si>
    <t>Utilities Fund Revenue Forecast</t>
  </si>
  <si>
    <t>Extra project for striping subdivision</t>
  </si>
  <si>
    <t>PHONE/INTERNET</t>
  </si>
  <si>
    <t>Composition of Estimated Ending Fund Balance</t>
  </si>
  <si>
    <r>
      <rPr>
        <sz val="10"/>
        <color rgb="FF7030A0"/>
        <rFont val="Calibri"/>
        <family val="2"/>
        <scheme val="minor"/>
      </rPr>
      <t>Water Meter Replace 115k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HE Replace 130k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Obsolete Grinder 90k</t>
    </r>
    <r>
      <rPr>
        <sz val="10"/>
        <color rgb="FF00B0F0"/>
        <rFont val="Calibri"/>
        <family val="2"/>
        <scheme val="minor"/>
      </rPr>
      <t>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7030A0"/>
        <rFont val="Calibri"/>
        <family val="2"/>
        <scheme val="minor"/>
      </rPr>
      <t>Fire Hydrants 35k</t>
    </r>
  </si>
  <si>
    <r>
      <rPr>
        <sz val="10"/>
        <color rgb="FF7030A0"/>
        <rFont val="Calibri"/>
        <family val="2"/>
        <scheme val="minor"/>
      </rPr>
      <t>UTV 18k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Trucks 265k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Equipment Trailer 25k</t>
    </r>
  </si>
  <si>
    <r>
      <rPr>
        <sz val="10"/>
        <color rgb="FF7030A0"/>
        <rFont val="Calibri"/>
        <family val="2"/>
        <scheme val="minor"/>
      </rPr>
      <t>Gardens 25k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UT/PW Center 250k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Reclaim Exp 150k</t>
    </r>
  </si>
  <si>
    <r>
      <rPr>
        <sz val="10"/>
        <color rgb="FF7030A0"/>
        <rFont val="Calibri"/>
        <family val="2"/>
        <scheme val="minor"/>
      </rPr>
      <t>SCADA 25k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Sludge Removal 250k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CWTP 450k</t>
    </r>
  </si>
  <si>
    <r>
      <rPr>
        <sz val="10"/>
        <color rgb="FF7030A0"/>
        <rFont val="Calibri"/>
        <family val="2"/>
        <scheme val="minor"/>
      </rPr>
      <t>TDEM Elevation 350k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EWST Rehab 550k</t>
    </r>
    <r>
      <rPr>
        <sz val="10"/>
        <color rgb="FF00B0F0"/>
        <rFont val="Calibri"/>
        <family val="2"/>
        <scheme val="minor"/>
      </rPr>
      <t xml:space="preserve">, </t>
    </r>
    <r>
      <rPr>
        <sz val="10"/>
        <color rgb="FF7030A0"/>
        <rFont val="Calibri"/>
        <family val="2"/>
        <scheme val="minor"/>
      </rPr>
      <t>High Storage Main 2.8M</t>
    </r>
  </si>
  <si>
    <t>FEES - MC TECH</t>
  </si>
  <si>
    <t>16</t>
  </si>
  <si>
    <t>17</t>
  </si>
  <si>
    <t>18</t>
  </si>
  <si>
    <t>19</t>
  </si>
  <si>
    <t>FEES - MC SECURITY</t>
  </si>
  <si>
    <t>FEES - CHILD SAFETY</t>
  </si>
  <si>
    <t>FEES - WARRANTS</t>
  </si>
  <si>
    <t>EXPENSE - CHILD SAFETY</t>
  </si>
  <si>
    <t>EXPENSE - MC TECH</t>
  </si>
  <si>
    <t>EXPENSE - MC SECURITY</t>
  </si>
  <si>
    <t>EXPENSE - COLLECTION AGENCY</t>
  </si>
  <si>
    <t>EXPENSE - WARRANTS</t>
  </si>
  <si>
    <t>FEES - TRUANCY PREVENTION</t>
  </si>
  <si>
    <t>FEES - JURY</t>
  </si>
  <si>
    <t>Court Security Fund Revenues</t>
  </si>
  <si>
    <t>Total Court Security Fund Revenues</t>
  </si>
  <si>
    <t>Court Security Fund Expenditures</t>
  </si>
  <si>
    <t>Total Court Security Fund Expenditures</t>
  </si>
  <si>
    <t>02-9995-48001</t>
  </si>
  <si>
    <t>Fines &amp; Fees Revenue</t>
  </si>
  <si>
    <t>Total Fines &amp; Fees Revenue</t>
  </si>
  <si>
    <t>Administration Revenue</t>
  </si>
  <si>
    <t>Total Administration Revenue</t>
  </si>
  <si>
    <t>Fire Dept Revenue</t>
  </si>
  <si>
    <t>Total Fire Dept Revenue</t>
  </si>
  <si>
    <t>Emerg Service District Revenue</t>
  </si>
  <si>
    <t>Total Emerg Service District Revenue</t>
  </si>
  <si>
    <t>Taxes/Franchise Fees Revenue</t>
  </si>
  <si>
    <t>Total Taxes/Franchise Fees Revenue</t>
  </si>
  <si>
    <t>Police Dept Revenue</t>
  </si>
  <si>
    <t>Total Police Dept Revenue</t>
  </si>
  <si>
    <t>Development Services Revenue</t>
  </si>
  <si>
    <t>Total Development Services Revenue</t>
  </si>
  <si>
    <t>Street Maintenance Revenue</t>
  </si>
  <si>
    <t>Total Street Maintenance Revenue</t>
  </si>
  <si>
    <t>Mowing and Clearing Revenue</t>
  </si>
  <si>
    <t>Total Mowing and Clearing Revenue</t>
  </si>
  <si>
    <t>Interest Revenue</t>
  </si>
  <si>
    <t>Total Interest Revenue</t>
  </si>
  <si>
    <t>Transfer In Revenue</t>
  </si>
  <si>
    <t>Total Transfer In Revenue</t>
  </si>
  <si>
    <t>16-9999-48999</t>
  </si>
  <si>
    <t>EXPENSES - CHILD SAFETY</t>
  </si>
  <si>
    <t>EXPENSES - MC TECH</t>
  </si>
  <si>
    <t>17-9999-48999</t>
  </si>
  <si>
    <t>18-9999-48999</t>
  </si>
  <si>
    <t>EXPENSES - MC SECURITY</t>
  </si>
  <si>
    <t>19-9999-48999</t>
  </si>
  <si>
    <t>Impact Fee Fund Expenditures</t>
  </si>
  <si>
    <t>Impact Fee Fund Revenues</t>
  </si>
  <si>
    <t>Total Impact Fee Fund Expenditures</t>
  </si>
  <si>
    <t>19-9999-50765</t>
  </si>
  <si>
    <t>Tax Revenue</t>
  </si>
  <si>
    <t>Total Tax Revenue</t>
  </si>
  <si>
    <t>Bonds Revenue</t>
  </si>
  <si>
    <t>Total Bonds Revenue</t>
  </si>
  <si>
    <t>Other Source Revenue</t>
  </si>
  <si>
    <t>Total Other Source Revenue</t>
  </si>
  <si>
    <t>06-8000-48999</t>
  </si>
  <si>
    <t>Transfer Out</t>
  </si>
  <si>
    <t>Total Transfer Out</t>
  </si>
  <si>
    <t>05-1000-58001</t>
  </si>
  <si>
    <t>Total Standby Revenue</t>
  </si>
  <si>
    <t>Standby Revenue</t>
  </si>
  <si>
    <t>Total Solid Waste Revenue</t>
  </si>
  <si>
    <t>Solid Waste Revenue</t>
  </si>
  <si>
    <t>Total Wastewater Treatment Revenue</t>
  </si>
  <si>
    <t>Wastewater Treatment Revenue</t>
  </si>
  <si>
    <t>Total Water Production Revenue</t>
  </si>
  <si>
    <t>Water Production Revenue</t>
  </si>
  <si>
    <t>01-9995-48005</t>
  </si>
  <si>
    <t>XFER FROM - SUMMIT ROCK</t>
  </si>
  <si>
    <t>Revenues by Type</t>
  </si>
  <si>
    <t>Ad Valorem Tax Revenues</t>
  </si>
  <si>
    <t>Sales and Use Tax Revenues</t>
  </si>
  <si>
    <t>Franchise Fee/R.O.W. Revenues</t>
  </si>
  <si>
    <t>Licenses and Permits Revenues</t>
  </si>
  <si>
    <t>Fines and Fees Revenues</t>
  </si>
  <si>
    <t>Interest Revenues</t>
  </si>
  <si>
    <t>Other Source Revenues</t>
  </si>
  <si>
    <t>Utilities Revenues</t>
  </si>
  <si>
    <t>Transfer In Revenues</t>
  </si>
  <si>
    <t>GENERAL</t>
  </si>
  <si>
    <t>FUND</t>
  </si>
  <si>
    <t>UTILITIES</t>
  </si>
  <si>
    <t>Total Revenues by Type</t>
  </si>
  <si>
    <t>Expenditures by Type</t>
  </si>
  <si>
    <t>ESCONDIDO</t>
  </si>
  <si>
    <t>PID</t>
  </si>
  <si>
    <t>SUMMIT</t>
  </si>
  <si>
    <t>ROCK PID</t>
  </si>
  <si>
    <t>SEIZURE</t>
  </si>
  <si>
    <t>CAPITAL</t>
  </si>
  <si>
    <t>PROJECTS</t>
  </si>
  <si>
    <t>DEBT</t>
  </si>
  <si>
    <t>SERVICE</t>
  </si>
  <si>
    <t>COURT</t>
  </si>
  <si>
    <t>SAFETY</t>
  </si>
  <si>
    <t>TECHNOLOGY</t>
  </si>
  <si>
    <t>SECURITY</t>
  </si>
  <si>
    <t>MC CHILD</t>
  </si>
  <si>
    <t>Ending Fund Balance</t>
  </si>
  <si>
    <t>Transfer In</t>
  </si>
  <si>
    <t>07-9999-58001</t>
  </si>
  <si>
    <t>01-9995-48007</t>
  </si>
  <si>
    <t>Vehicle Equipment Replace Fund Revenues</t>
  </si>
  <si>
    <t>21-2121-48002</t>
  </si>
  <si>
    <t>21-2121-48999</t>
  </si>
  <si>
    <t>Total Vehicle Equipment Replace Fund Revenues</t>
  </si>
  <si>
    <t>Vehicle Equipment Replace Fund Expenditures</t>
  </si>
  <si>
    <t>21-2121-50956</t>
  </si>
  <si>
    <t>21-2121-50955</t>
  </si>
  <si>
    <t>Total Vehicle Equipment Replace Fund Expenditures</t>
  </si>
  <si>
    <t>VEH/EQUIP</t>
  </si>
  <si>
    <t>REPLACE</t>
  </si>
  <si>
    <t>Transfer Out Expenditures</t>
  </si>
  <si>
    <t>XFER TO - REPLACE FUND</t>
  </si>
  <si>
    <t>Total Transfer Out Expenditures</t>
  </si>
  <si>
    <t>01-9995-58999</t>
  </si>
  <si>
    <t>02-9995-58999</t>
  </si>
  <si>
    <t>02-9995-58021</t>
  </si>
  <si>
    <t>05-1000-58999</t>
  </si>
  <si>
    <t>Licenses and Permits Revenue</t>
  </si>
  <si>
    <t>Total Licenses and Permits Revenue</t>
  </si>
  <si>
    <t>21-2121-58999</t>
  </si>
  <si>
    <t>01-9995-58002</t>
  </si>
  <si>
    <t>Deer trapping may not be needed but wanted to purchase equipment for future use</t>
  </si>
  <si>
    <t>Use for interim or transfer for permanent Building Inspector</t>
  </si>
  <si>
    <t>Equipment if new Building Inspector added</t>
  </si>
  <si>
    <t>If extra truck is added for B.I.</t>
  </si>
  <si>
    <t>Building Inspector in-house will need vehicle</t>
  </si>
  <si>
    <t>Budget amendment for 1,044,100 for street capital project</t>
  </si>
  <si>
    <t>Storm clean-up dropped in this line causing overage</t>
  </si>
  <si>
    <t>Added $10k for internet tower electricity costs</t>
  </si>
  <si>
    <t>City pays half. Costs increased.</t>
  </si>
  <si>
    <t>IMPACT</t>
  </si>
  <si>
    <t>FEES</t>
  </si>
  <si>
    <t>Contract with doctor was supposed to be 2k and not 1500. Architect was 30k in 2023</t>
  </si>
  <si>
    <t>Incorrect amount for budget as HR sheet showed 93K</t>
  </si>
  <si>
    <t>Incorrect amound for budget of 2023</t>
  </si>
  <si>
    <t>Transfer Revenue</t>
  </si>
  <si>
    <t>Transfer To/From Fund Balance</t>
  </si>
  <si>
    <t>Restricted: Reserve</t>
  </si>
  <si>
    <t>Restricted: PEG</t>
  </si>
  <si>
    <t>Restricted: Fuchs House</t>
  </si>
  <si>
    <t>Restricted: Building Fund</t>
  </si>
  <si>
    <t>Unrestricted</t>
  </si>
  <si>
    <t>Lack of staffing &amp; OT issues forced reduction in current FY</t>
  </si>
  <si>
    <t>$0.267750/$100</t>
  </si>
  <si>
    <t>PERSONNEL SCHEDULE</t>
  </si>
  <si>
    <t>Actual</t>
  </si>
  <si>
    <t>Budget</t>
  </si>
  <si>
    <t>FY 20</t>
  </si>
  <si>
    <t>FY 21</t>
  </si>
  <si>
    <t>FY 22</t>
  </si>
  <si>
    <t>FY 23</t>
  </si>
  <si>
    <t>FY 24</t>
  </si>
  <si>
    <t>City Manager</t>
  </si>
  <si>
    <t>Finance Director</t>
  </si>
  <si>
    <t>Finance Supervisor/Court Administrator</t>
  </si>
  <si>
    <t>Finance Clerk/Municipal Court Clerk</t>
  </si>
  <si>
    <t>City Secretary/Legislative Services Director</t>
  </si>
  <si>
    <t>Deputy City Secretary/Records &amp; Information Manager</t>
  </si>
  <si>
    <t>Finance Administrative Assistant</t>
  </si>
  <si>
    <t>Human Resources Director</t>
  </si>
  <si>
    <t>Human Resources Administrator</t>
  </si>
  <si>
    <t>Communications Director</t>
  </si>
  <si>
    <t>Executive Assistant to the City Manager</t>
  </si>
  <si>
    <t>Information Technology Administrator</t>
  </si>
  <si>
    <t>GIS Administrator</t>
  </si>
  <si>
    <t>Fire Chief</t>
  </si>
  <si>
    <t>Assistant Fire Chief</t>
  </si>
  <si>
    <t>Fire Marshal</t>
  </si>
  <si>
    <t>Captain</t>
  </si>
  <si>
    <t>Lieutenant</t>
  </si>
  <si>
    <t>Engineer</t>
  </si>
  <si>
    <t>Firefighter</t>
  </si>
  <si>
    <t>Part-Time Firefighter</t>
  </si>
  <si>
    <t>Police Chief</t>
  </si>
  <si>
    <t>Assistant Police Chief</t>
  </si>
  <si>
    <t>Sergeant</t>
  </si>
  <si>
    <t>Criminal Investigator</t>
  </si>
  <si>
    <t>Police Officer</t>
  </si>
  <si>
    <t>Communication Operator</t>
  </si>
  <si>
    <t>Animal Control Officer</t>
  </si>
  <si>
    <t>Part-Time Animal Control Officer</t>
  </si>
  <si>
    <t>Development Services Director</t>
  </si>
  <si>
    <t>Assistant Planner</t>
  </si>
  <si>
    <t>Senior Planner</t>
  </si>
  <si>
    <t>Dev. Serv. Supervisor/Dep. Building Official</t>
  </si>
  <si>
    <t>Code Enforcement Officer</t>
  </si>
  <si>
    <t>Code Compliance Officer</t>
  </si>
  <si>
    <t>Code Compliance Officer/Inspector</t>
  </si>
  <si>
    <t>Development Services Admin. Technician</t>
  </si>
  <si>
    <t>Development Services Technician</t>
  </si>
  <si>
    <t>Permit Technician</t>
  </si>
  <si>
    <t>Public Works Director</t>
  </si>
  <si>
    <t>Public Works Assistant</t>
  </si>
  <si>
    <t>Utilities Director</t>
  </si>
  <si>
    <t>Technical Administrator</t>
  </si>
  <si>
    <t>Water Conservation/Inspector</t>
  </si>
  <si>
    <t>Purchasing Coordinator</t>
  </si>
  <si>
    <t>Customer Service Clerk</t>
  </si>
  <si>
    <t>Utilities Dispatcher</t>
  </si>
  <si>
    <t>Utilitiy Billing Supervisor</t>
  </si>
  <si>
    <t>Plant Operations Supervisor</t>
  </si>
  <si>
    <t>Plant Operator</t>
  </si>
  <si>
    <t>Chief Operator</t>
  </si>
  <si>
    <t>Maintenance Foreman</t>
  </si>
  <si>
    <t>SCADA Technician</t>
  </si>
  <si>
    <t>Utilities Administrative Assistant</t>
  </si>
  <si>
    <t>Field Operations Supervisor</t>
  </si>
  <si>
    <t>Crew Lead</t>
  </si>
  <si>
    <t>Field Operator</t>
  </si>
  <si>
    <t>Field Technician</t>
  </si>
  <si>
    <t>Fleet Mechanic</t>
  </si>
  <si>
    <t>Lead Recycle Monitor</t>
  </si>
  <si>
    <t>Recycle Monitor</t>
  </si>
  <si>
    <t>Part-Time Recycle Monitor</t>
  </si>
  <si>
    <t>Change from 50650 to keep numbering consistent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</si>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</sst>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 val="doubleAccounting"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2" fontId="0" fillId="0" borderId="0" xfId="0" applyNumberFormat="1"/>
    <xf numFmtId="0" fontId="3" fillId="0" borderId="0" xfId="0" applyFont="1"/>
    <xf numFmtId="0" fontId="5" fillId="0" borderId="0" xfId="0" applyFont="1"/>
    <xf numFmtId="42" fontId="5" fillId="0" borderId="0" xfId="1" applyNumberFormat="1" applyFont="1"/>
    <xf numFmtId="42" fontId="5" fillId="0" borderId="0" xfId="1" applyNumberFormat="1" applyFont="1" applyBorder="1"/>
    <xf numFmtId="42" fontId="5" fillId="0" borderId="0" xfId="1" applyNumberFormat="1" applyFont="1" applyFill="1" applyBorder="1"/>
    <xf numFmtId="42" fontId="6" fillId="0" borderId="0" xfId="1" applyNumberFormat="1" applyFont="1" applyFill="1" applyBorder="1"/>
    <xf numFmtId="42" fontId="5" fillId="0" borderId="0" xfId="1" applyNumberFormat="1" applyFont="1" applyFill="1"/>
    <xf numFmtId="0" fontId="6" fillId="0" borderId="0" xfId="0" applyFont="1"/>
    <xf numFmtId="42" fontId="6" fillId="0" borderId="0" xfId="1" applyNumberFormat="1" applyFont="1" applyFill="1"/>
    <xf numFmtId="42" fontId="6" fillId="0" borderId="0" xfId="1" applyNumberFormat="1" applyFont="1" applyBorder="1"/>
    <xf numFmtId="42" fontId="6" fillId="0" borderId="0" xfId="1" applyNumberFormat="1" applyFont="1"/>
    <xf numFmtId="3" fontId="3" fillId="0" borderId="0" xfId="0" applyNumberFormat="1" applyFont="1"/>
    <xf numFmtId="3" fontId="0" fillId="0" borderId="0" xfId="0" applyNumberFormat="1"/>
    <xf numFmtId="3" fontId="6" fillId="0" borderId="0" xfId="1" applyNumberFormat="1" applyFont="1" applyFill="1" applyBorder="1"/>
    <xf numFmtId="3" fontId="6" fillId="0" borderId="0" xfId="1" applyNumberFormat="1" applyFont="1" applyFill="1"/>
    <xf numFmtId="3" fontId="6" fillId="0" borderId="0" xfId="1" applyNumberFormat="1" applyFont="1"/>
    <xf numFmtId="166" fontId="3" fillId="0" borderId="0" xfId="2" applyNumberFormat="1" applyFont="1" applyBorder="1"/>
    <xf numFmtId="0" fontId="5" fillId="0" borderId="0" xfId="0" applyFont="1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42" fontId="5" fillId="6" borderId="0" xfId="1" applyNumberFormat="1" applyFont="1" applyFill="1" applyBorder="1"/>
    <xf numFmtId="42" fontId="5" fillId="6" borderId="0" xfId="1" applyNumberFormat="1" applyFont="1" applyFill="1"/>
    <xf numFmtId="3" fontId="3" fillId="0" borderId="0" xfId="2" applyNumberFormat="1" applyFont="1" applyBorder="1"/>
    <xf numFmtId="42" fontId="3" fillId="0" borderId="0" xfId="2" applyNumberFormat="1" applyFont="1" applyBorder="1"/>
    <xf numFmtId="42" fontId="3" fillId="0" borderId="0" xfId="1" applyNumberFormat="1" applyFont="1" applyBorder="1"/>
    <xf numFmtId="0" fontId="6" fillId="6" borderId="0" xfId="0" applyFont="1" applyFill="1"/>
    <xf numFmtId="42" fontId="6" fillId="6" borderId="0" xfId="1" applyNumberFormat="1" applyFont="1" applyFill="1" applyBorder="1"/>
    <xf numFmtId="42" fontId="6" fillId="6" borderId="0" xfId="1" applyNumberFormat="1" applyFont="1" applyFill="1"/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2" fontId="5" fillId="0" borderId="0" xfId="0" applyNumberFormat="1" applyFont="1" applyAlignment="1">
      <alignment horizontal="center"/>
    </xf>
    <xf numFmtId="42" fontId="5" fillId="6" borderId="0" xfId="0" applyNumberFormat="1" applyFont="1" applyFill="1" applyAlignment="1">
      <alignment horizontal="center"/>
    </xf>
    <xf numFmtId="42" fontId="3" fillId="0" borderId="0" xfId="0" applyNumberFormat="1" applyFont="1"/>
    <xf numFmtId="42" fontId="6" fillId="0" borderId="0" xfId="0" applyNumberFormat="1" applyFont="1"/>
    <xf numFmtId="42" fontId="6" fillId="6" borderId="0" xfId="0" applyNumberFormat="1" applyFont="1" applyFill="1"/>
    <xf numFmtId="0" fontId="6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2" fontId="8" fillId="0" borderId="0" xfId="0" applyNumberFormat="1" applyFont="1" applyAlignment="1">
      <alignment horizontal="left"/>
    </xf>
    <xf numFmtId="42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/>
    <xf numFmtId="42" fontId="8" fillId="0" borderId="0" xfId="0" applyNumberFormat="1" applyFont="1"/>
    <xf numFmtId="10" fontId="8" fillId="0" borderId="0" xfId="0" applyNumberFormat="1" applyFont="1" applyAlignment="1">
      <alignment horizontal="center"/>
    </xf>
    <xf numFmtId="0" fontId="8" fillId="6" borderId="0" xfId="0" applyFont="1" applyFill="1" applyAlignment="1">
      <alignment horizontal="left" indent="2"/>
    </xf>
    <xf numFmtId="0" fontId="8" fillId="6" borderId="0" xfId="0" applyFont="1" applyFill="1"/>
    <xf numFmtId="42" fontId="8" fillId="6" borderId="0" xfId="0" applyNumberFormat="1" applyFont="1" applyFill="1" applyAlignment="1">
      <alignment horizontal="center"/>
    </xf>
    <xf numFmtId="42" fontId="8" fillId="6" borderId="0" xfId="0" applyNumberFormat="1" applyFont="1" applyFill="1"/>
    <xf numFmtId="10" fontId="8" fillId="6" borderId="0" xfId="0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10" fontId="7" fillId="0" borderId="0" xfId="0" applyNumberFormat="1" applyFont="1" applyAlignment="1">
      <alignment horizontal="center"/>
    </xf>
    <xf numFmtId="10" fontId="8" fillId="0" borderId="0" xfId="0" applyNumberFormat="1" applyFont="1"/>
    <xf numFmtId="0" fontId="7" fillId="0" borderId="0" xfId="0" applyFont="1"/>
    <xf numFmtId="42" fontId="7" fillId="2" borderId="2" xfId="0" applyNumberFormat="1" applyFont="1" applyFill="1" applyBorder="1"/>
    <xf numFmtId="42" fontId="7" fillId="5" borderId="2" xfId="0" applyNumberFormat="1" applyFont="1" applyFill="1" applyBorder="1"/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6" borderId="0" xfId="0" applyFont="1" applyFill="1"/>
    <xf numFmtId="0" fontId="10" fillId="0" borderId="0" xfId="0" applyFont="1"/>
    <xf numFmtId="6" fontId="11" fillId="0" borderId="0" xfId="0" applyNumberFormat="1" applyFont="1"/>
    <xf numFmtId="10" fontId="8" fillId="0" borderId="0" xfId="0" applyNumberFormat="1" applyFont="1" applyAlignment="1">
      <alignment horizontal="left"/>
    </xf>
    <xf numFmtId="41" fontId="8" fillId="0" borderId="0" xfId="0" applyNumberFormat="1" applyFont="1"/>
    <xf numFmtId="41" fontId="8" fillId="0" borderId="0" xfId="0" applyNumberFormat="1" applyFont="1" applyAlignment="1">
      <alignment horizontal="center"/>
    </xf>
    <xf numFmtId="41" fontId="8" fillId="6" borderId="0" xfId="0" applyNumberFormat="1" applyFont="1" applyFill="1"/>
    <xf numFmtId="41" fontId="8" fillId="6" borderId="0" xfId="0" applyNumberFormat="1" applyFont="1" applyFill="1" applyAlignment="1">
      <alignment horizontal="center"/>
    </xf>
    <xf numFmtId="41" fontId="7" fillId="0" borderId="1" xfId="0" applyNumberFormat="1" applyFont="1" applyBorder="1"/>
    <xf numFmtId="41" fontId="7" fillId="2" borderId="2" xfId="0" applyNumberFormat="1" applyFont="1" applyFill="1" applyBorder="1"/>
    <xf numFmtId="41" fontId="7" fillId="5" borderId="2" xfId="0" applyNumberFormat="1" applyFont="1" applyFill="1" applyBorder="1"/>
    <xf numFmtId="41" fontId="9" fillId="6" borderId="0" xfId="0" applyNumberFormat="1" applyFont="1" applyFill="1"/>
    <xf numFmtId="0" fontId="8" fillId="6" borderId="0" xfId="0" applyFont="1" applyFill="1" applyAlignment="1">
      <alignment horizontal="left"/>
    </xf>
    <xf numFmtId="41" fontId="9" fillId="0" borderId="0" xfId="0" applyNumberFormat="1" applyFont="1"/>
    <xf numFmtId="42" fontId="7" fillId="0" borderId="0" xfId="0" applyNumberFormat="1" applyFont="1"/>
    <xf numFmtId="41" fontId="7" fillId="0" borderId="0" xfId="0" applyNumberFormat="1" applyFont="1"/>
    <xf numFmtId="9" fontId="10" fillId="0" borderId="0" xfId="0" applyNumberFormat="1" applyFont="1" applyAlignment="1">
      <alignment horizontal="center"/>
    </xf>
    <xf numFmtId="8" fontId="11" fillId="0" borderId="0" xfId="0" applyNumberFormat="1" applyFont="1"/>
    <xf numFmtId="41" fontId="11" fillId="0" borderId="0" xfId="0" applyNumberFormat="1" applyFont="1"/>
    <xf numFmtId="41" fontId="11" fillId="6" borderId="0" xfId="0" applyNumberFormat="1" applyFont="1" applyFill="1"/>
    <xf numFmtId="41" fontId="10" fillId="0" borderId="0" xfId="0" applyNumberFormat="1" applyFont="1"/>
    <xf numFmtId="41" fontId="11" fillId="0" borderId="0" xfId="0" applyNumberFormat="1" applyFont="1" applyAlignment="1">
      <alignment wrapText="1"/>
    </xf>
    <xf numFmtId="41" fontId="12" fillId="0" borderId="0" xfId="0" applyNumberFormat="1" applyFont="1"/>
    <xf numFmtId="41" fontId="11" fillId="0" borderId="1" xfId="0" applyNumberFormat="1" applyFont="1" applyBorder="1"/>
    <xf numFmtId="41" fontId="11" fillId="6" borderId="0" xfId="0" applyNumberFormat="1" applyFont="1" applyFill="1" applyAlignment="1">
      <alignment wrapText="1"/>
    </xf>
    <xf numFmtId="0" fontId="10" fillId="6" borderId="0" xfId="0" applyFont="1" applyFill="1"/>
    <xf numFmtId="41" fontId="10" fillId="6" borderId="0" xfId="0" applyNumberFormat="1" applyFont="1" applyFill="1"/>
    <xf numFmtId="0" fontId="13" fillId="6" borderId="0" xfId="0" applyFont="1" applyFill="1"/>
    <xf numFmtId="41" fontId="13" fillId="6" borderId="0" xfId="0" applyNumberFormat="1" applyFont="1" applyFill="1"/>
    <xf numFmtId="0" fontId="13" fillId="0" borderId="0" xfId="0" applyFont="1"/>
    <xf numFmtId="41" fontId="13" fillId="0" borderId="0" xfId="0" applyNumberFormat="1" applyFont="1"/>
    <xf numFmtId="42" fontId="7" fillId="0" borderId="0" xfId="0" applyNumberFormat="1" applyFont="1" applyAlignment="1">
      <alignment horizontal="center"/>
    </xf>
    <xf numFmtId="44" fontId="8" fillId="0" borderId="0" xfId="0" applyNumberFormat="1" applyFont="1"/>
    <xf numFmtId="41" fontId="8" fillId="0" borderId="0" xfId="0" applyNumberFormat="1" applyFont="1" applyAlignment="1">
      <alignment horizontal="left"/>
    </xf>
    <xf numFmtId="41" fontId="7" fillId="2" borderId="0" xfId="0" applyNumberFormat="1" applyFont="1" applyFill="1" applyAlignment="1">
      <alignment horizontal="center"/>
    </xf>
    <xf numFmtId="41" fontId="7" fillId="5" borderId="0" xfId="0" applyNumberFormat="1" applyFont="1" applyFill="1" applyAlignment="1">
      <alignment horizontal="center"/>
    </xf>
    <xf numFmtId="10" fontId="7" fillId="0" borderId="0" xfId="0" applyNumberFormat="1" applyFont="1"/>
    <xf numFmtId="42" fontId="7" fillId="2" borderId="0" xfId="0" applyNumberFormat="1" applyFont="1" applyFill="1" applyAlignment="1">
      <alignment horizontal="center"/>
    </xf>
    <xf numFmtId="42" fontId="7" fillId="5" borderId="0" xfId="0" applyNumberFormat="1" applyFont="1" applyFill="1" applyAlignment="1">
      <alignment horizontal="center"/>
    </xf>
    <xf numFmtId="41" fontId="8" fillId="6" borderId="0" xfId="0" applyNumberFormat="1" applyFont="1" applyFill="1" applyAlignment="1">
      <alignment horizontal="left"/>
    </xf>
    <xf numFmtId="42" fontId="8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42" fontId="0" fillId="6" borderId="0" xfId="0" applyNumberFormat="1" applyFill="1"/>
    <xf numFmtId="0" fontId="2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0" fontId="7" fillId="2" borderId="0" xfId="0" applyNumberFormat="1" applyFont="1" applyFill="1" applyAlignment="1">
      <alignment horizontal="center"/>
    </xf>
    <xf numFmtId="0" fontId="2" fillId="5" borderId="8" xfId="0" applyFont="1" applyFill="1" applyBorder="1" applyAlignment="1">
      <alignment horizontal="center"/>
    </xf>
    <xf numFmtId="42" fontId="2" fillId="5" borderId="8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42" fontId="2" fillId="5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7" borderId="1" xfId="1" applyNumberFormat="1" applyFont="1" applyFill="1" applyBorder="1" applyAlignment="1">
      <alignment horizontal="center" vertical="center" wrapText="1"/>
    </xf>
    <xf numFmtId="3" fontId="3" fillId="7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 vertical="center" wrapText="1"/>
    </xf>
    <xf numFmtId="165" fontId="3" fillId="7" borderId="3" xfId="1" applyNumberFormat="1" applyFont="1" applyFill="1" applyBorder="1" applyAlignment="1">
      <alignment horizontal="center" vertical="center" wrapText="1"/>
    </xf>
    <xf numFmtId="165" fontId="3" fillId="7" borderId="5" xfId="1" applyNumberFormat="1" applyFont="1" applyFill="1" applyBorder="1" applyAlignment="1">
      <alignment horizontal="center" vertical="center" wrapText="1"/>
    </xf>
    <xf numFmtId="165" fontId="3" fillId="7" borderId="7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3" fontId="3" fillId="7" borderId="5" xfId="1" applyNumberFormat="1" applyFont="1" applyFill="1" applyBorder="1" applyAlignment="1">
      <alignment horizontal="center" vertical="center" wrapText="1"/>
    </xf>
    <xf numFmtId="3" fontId="3" fillId="7" borderId="7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Property Value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'TAX RATE'!$A$7:$A$23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'TAX RATE'!$G$7:$G$23</c:f>
              <c:numCache>
                <c:formatCode>_("$"* #,##0_);_("$"* \(#,##0\);_("$"* "-"_);_(@_)</c:formatCode>
                <c:ptCount val="17"/>
                <c:pt idx="0">
                  <c:v>1251273964</c:v>
                </c:pt>
                <c:pt idx="1">
                  <c:v>1441168934</c:v>
                </c:pt>
                <c:pt idx="2">
                  <c:v>1588249545</c:v>
                </c:pt>
                <c:pt idx="3">
                  <c:v>1583000000</c:v>
                </c:pt>
                <c:pt idx="4">
                  <c:v>1547941182</c:v>
                </c:pt>
                <c:pt idx="5">
                  <c:v>1527113238</c:v>
                </c:pt>
                <c:pt idx="6">
                  <c:v>1571271886</c:v>
                </c:pt>
                <c:pt idx="7">
                  <c:v>1622726824</c:v>
                </c:pt>
                <c:pt idx="8">
                  <c:v>1690543810</c:v>
                </c:pt>
                <c:pt idx="9">
                  <c:v>1801548866</c:v>
                </c:pt>
                <c:pt idx="10">
                  <c:v>1929448998</c:v>
                </c:pt>
                <c:pt idx="11">
                  <c:v>2056959372</c:v>
                </c:pt>
                <c:pt idx="12">
                  <c:v>2188077507</c:v>
                </c:pt>
                <c:pt idx="13">
                  <c:v>2346139876</c:v>
                </c:pt>
                <c:pt idx="14">
                  <c:v>2592397697</c:v>
                </c:pt>
                <c:pt idx="15">
                  <c:v>3058433232</c:v>
                </c:pt>
                <c:pt idx="16">
                  <c:v>3549368663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B9-4BEE-884C-C371308C1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769728"/>
        <c:axId val="1650800448"/>
      </c:lineChart>
      <c:catAx>
        <c:axId val="16507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800448"/>
        <c:crosses val="autoZero"/>
        <c:auto val="1"/>
        <c:lblAlgn val="ctr"/>
        <c:lblOffset val="100"/>
        <c:noMultiLvlLbl val="0"/>
      </c:catAx>
      <c:valAx>
        <c:axId val="165080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76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Property</a:t>
            </a:r>
            <a:r>
              <a:rPr lang="en-US" b="1" baseline="0">
                <a:solidFill>
                  <a:schemeClr val="tx1"/>
                </a:solidFill>
              </a:rPr>
              <a:t> Values - 10 Year History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PV LLANO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'TAX RATE'!$A$14:$A$23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'TAX RATE'!$E$14:$E$23</c:f>
              <c:numCache>
                <c:formatCode>_("$"* #,##0_);_("$"* \(#,##0\);_("$"* "-"_);_(@_)</c:formatCode>
                <c:ptCount val="10"/>
                <c:pt idx="0">
                  <c:v>1437323807</c:v>
                </c:pt>
                <c:pt idx="1">
                  <c:v>1494521653</c:v>
                </c:pt>
                <c:pt idx="2">
                  <c:v>1601593349</c:v>
                </c:pt>
                <c:pt idx="3">
                  <c:v>1722168060</c:v>
                </c:pt>
                <c:pt idx="4">
                  <c:v>1837165951</c:v>
                </c:pt>
                <c:pt idx="5">
                  <c:v>1949503369</c:v>
                </c:pt>
                <c:pt idx="6">
                  <c:v>2101237471</c:v>
                </c:pt>
                <c:pt idx="7">
                  <c:v>2319710754</c:v>
                </c:pt>
                <c:pt idx="8">
                  <c:v>2729206533</c:v>
                </c:pt>
                <c:pt idx="9">
                  <c:v>3153176338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F-4E95-AD7D-876C1B9CDA94}"/>
            </c:ext>
          </c:extLst>
        </c:ser>
        <c:ser>
          <c:idx val="1"/>
          <c:order val="1"/>
          <c:tx>
            <c:v>PV BURNET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numRef>
              <c:f>'TAX RATE'!$A$14:$A$23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'TAX RATE'!$F$14:$F$23</c:f>
              <c:numCache>
                <c:formatCode>_("$"* #,##0_);_("$"* \(#,##0\);_("$"* "-"_);_(@_)</c:formatCode>
                <c:ptCount val="10"/>
                <c:pt idx="0">
                  <c:v>185403017</c:v>
                </c:pt>
                <c:pt idx="1">
                  <c:v>196022157</c:v>
                </c:pt>
                <c:pt idx="2">
                  <c:v>199955517</c:v>
                </c:pt>
                <c:pt idx="3">
                  <c:v>207280938</c:v>
                </c:pt>
                <c:pt idx="4">
                  <c:v>219793421</c:v>
                </c:pt>
                <c:pt idx="5">
                  <c:v>238574138</c:v>
                </c:pt>
                <c:pt idx="6">
                  <c:v>244902405</c:v>
                </c:pt>
                <c:pt idx="7">
                  <c:v>272686943</c:v>
                </c:pt>
                <c:pt idx="8">
                  <c:v>329226699</c:v>
                </c:pt>
                <c:pt idx="9">
                  <c:v>396192325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F-4E95-AD7D-876C1B9C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1952736"/>
        <c:axId val="1337097072"/>
        <c:axId val="0"/>
      </c:bar3DChart>
      <c:catAx>
        <c:axId val="136195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Tax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097072"/>
        <c:crosses val="autoZero"/>
        <c:auto val="1"/>
        <c:lblAlgn val="ctr"/>
        <c:lblOffset val="100"/>
        <c:noMultiLvlLbl val="0"/>
      </c:catAx>
      <c:valAx>
        <c:axId val="133709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Value</a:t>
                </a:r>
                <a:r>
                  <a:rPr lang="en-US" b="1" baseline="0">
                    <a:solidFill>
                      <a:schemeClr val="tx1"/>
                    </a:solidFill>
                  </a:rPr>
                  <a:t> - Dollars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195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Property</a:t>
            </a:r>
            <a:r>
              <a:rPr lang="en-US" b="1" baseline="0">
                <a:solidFill>
                  <a:schemeClr val="tx1"/>
                </a:solidFill>
              </a:rPr>
              <a:t> Tax Levy - 10 Year History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M&amp;O LEVY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'TAX RATE'!$A$14:$A$23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'TAX RATE'!$I$14:$I$23</c:f>
              <c:numCache>
                <c:formatCode>_("$"* #,##0_);_("$"* \(#,##0\);_("$"* "-"_);_(@_)</c:formatCode>
                <c:ptCount val="10"/>
                <c:pt idx="0">
                  <c:v>3602453.5492800004</c:v>
                </c:pt>
                <c:pt idx="1">
                  <c:v>3753007.2582</c:v>
                </c:pt>
                <c:pt idx="2">
                  <c:v>3938185.8210759996</c:v>
                </c:pt>
                <c:pt idx="3">
                  <c:v>4244787.7955999998</c:v>
                </c:pt>
                <c:pt idx="4">
                  <c:v>4644408.5660388004</c:v>
                </c:pt>
                <c:pt idx="5">
                  <c:v>5068462.7372148</c:v>
                </c:pt>
                <c:pt idx="6">
                  <c:v>5519763.2862652009</c:v>
                </c:pt>
                <c:pt idx="7">
                  <c:v>5935813.0068209004</c:v>
                </c:pt>
                <c:pt idx="8">
                  <c:v>6533119.2268752009</c:v>
                </c:pt>
                <c:pt idx="9">
                  <c:v>7134585.9494963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D-42FF-9261-05AA39AB2ED2}"/>
            </c:ext>
          </c:extLst>
        </c:ser>
        <c:ser>
          <c:idx val="1"/>
          <c:order val="1"/>
          <c:tx>
            <c:v>I&amp;S LEVY</c:v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numRef>
              <c:f>'TAX RATE'!$A$14:$A$23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'TAX RATE'!$H$14:$H$23</c:f>
              <c:numCache>
                <c:formatCode>_("$"* #,##0_);_("$"* \(#,##0\);_("$"* "-"_);_(@_)</c:formatCode>
                <c:ptCount val="10"/>
                <c:pt idx="0">
                  <c:v>454363.51072000008</c:v>
                </c:pt>
                <c:pt idx="1">
                  <c:v>473352.26679999998</c:v>
                </c:pt>
                <c:pt idx="2">
                  <c:v>745841.2305239999</c:v>
                </c:pt>
                <c:pt idx="3">
                  <c:v>771779.59920000006</c:v>
                </c:pt>
                <c:pt idx="4">
                  <c:v>848084.34907560004</c:v>
                </c:pt>
                <c:pt idx="5">
                  <c:v>839346.53168520005</c:v>
                </c:pt>
                <c:pt idx="6">
                  <c:v>814814.37893479993</c:v>
                </c:pt>
                <c:pt idx="7">
                  <c:v>1063660.7750790999</c:v>
                </c:pt>
                <c:pt idx="8">
                  <c:v>1724650.4995248001</c:v>
                </c:pt>
                <c:pt idx="9">
                  <c:v>2368848.6456861999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D-42FF-9261-05AA39AB2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7099472"/>
        <c:axId val="1337100432"/>
        <c:axId val="0"/>
      </c:bar3DChart>
      <c:catAx>
        <c:axId val="133709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Tax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100432"/>
        <c:crosses val="autoZero"/>
        <c:auto val="1"/>
        <c:lblAlgn val="ctr"/>
        <c:lblOffset val="100"/>
        <c:noMultiLvlLbl val="0"/>
      </c:catAx>
      <c:valAx>
        <c:axId val="133710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Value -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09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19050</xdr:rowOff>
    </xdr:from>
    <xdr:to>
      <xdr:col>9</xdr:col>
      <xdr:colOff>971550</xdr:colOff>
      <xdr:row>54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9D9D4F-3372-2862-7D0F-438C4F9EA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295273</xdr:colOff>
      <xdr:row>3</xdr:row>
      <xdr:rowOff>33335</xdr:rowOff>
    </xdr:from>
    <xdr:to>
      <xdr:col>21</xdr:col>
      <xdr:colOff>352423</xdr:colOff>
      <xdr:row>24</xdr:row>
      <xdr:rowOff>147635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080A30-6211-C436-2E5F-444325649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328612</xdr:colOff>
      <xdr:row>26</xdr:row>
      <xdr:rowOff>23812</xdr:rowOff>
    </xdr:from>
    <xdr:to>
      <xdr:col>21</xdr:col>
      <xdr:colOff>385762</xdr:colOff>
      <xdr:row>47</xdr:row>
      <xdr:rowOff>138112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94B1DE-BFB2-6F49-8145-F85DCBBED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opher Thomas" id="{C57B62F9-9387-421F-B981-51B1F1C3E546}" userId="S::cthomas@horseshoe-bay-tx.gov::f0b51e8c-259b-478b-add5-d360f10847e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5" dT="2023-06-26T15:14:22.39" personId="{C57B62F9-9387-421F-B981-51B1F1C3E546}" id="{5F80697F-4B80-4235-AE75-7A5E1790175D}">
    <text>Wanted moved from collections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2C55-578D-46C0-BD68-DA96CC7DCCEA}">
  <sheetPr>
    <tabColor rgb="FF92D050"/>
  </sheetPr>
  <dimension ref="A1:Z68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56" customWidth="1"/>
    <col min="25" max="25" width="11.7109375" style="77" customWidth="1"/>
    <col min="26" max="26" width="1.7109375" style="56" customWidth="1"/>
    <col min="27" max="16384" width="9.140625" style="56"/>
  </cols>
  <sheetData>
    <row r="1" spans="1:26" s="46" customFormat="1" ht="12.75" customHeight="1" x14ac:dyDescent="0.2">
      <c r="C1" s="108"/>
      <c r="D1" s="78"/>
      <c r="E1" s="108"/>
      <c r="F1" s="78"/>
      <c r="G1" s="108" t="s">
        <v>1394</v>
      </c>
      <c r="H1" s="78"/>
      <c r="I1" s="108" t="s">
        <v>1396</v>
      </c>
      <c r="J1" s="78"/>
      <c r="K1" s="108" t="s">
        <v>1180</v>
      </c>
      <c r="L1" s="78"/>
      <c r="M1" s="108" t="s">
        <v>1399</v>
      </c>
      <c r="N1" s="78"/>
      <c r="O1" s="108" t="s">
        <v>1401</v>
      </c>
      <c r="P1" s="78"/>
      <c r="Q1" s="108" t="s">
        <v>1407</v>
      </c>
      <c r="R1" s="78"/>
      <c r="S1" s="108" t="s">
        <v>1403</v>
      </c>
      <c r="T1" s="78"/>
      <c r="U1" s="108" t="s">
        <v>1403</v>
      </c>
      <c r="V1" s="78"/>
      <c r="W1" s="108" t="s">
        <v>1442</v>
      </c>
      <c r="X1" s="48"/>
      <c r="Y1" s="108" t="s">
        <v>1420</v>
      </c>
      <c r="Z1" s="48"/>
    </row>
    <row r="2" spans="1:26" s="46" customFormat="1" ht="12.75" customHeight="1" x14ac:dyDescent="0.2">
      <c r="C2" s="108" t="s">
        <v>1391</v>
      </c>
      <c r="D2" s="78"/>
      <c r="E2" s="108" t="s">
        <v>1389</v>
      </c>
      <c r="F2" s="78"/>
      <c r="G2" s="108" t="s">
        <v>1395</v>
      </c>
      <c r="H2" s="78"/>
      <c r="I2" s="108" t="s">
        <v>1397</v>
      </c>
      <c r="J2" s="78"/>
      <c r="K2" s="108" t="s">
        <v>1398</v>
      </c>
      <c r="L2" s="78"/>
      <c r="M2" s="108" t="s">
        <v>1400</v>
      </c>
      <c r="N2" s="78"/>
      <c r="O2" s="108" t="s">
        <v>1402</v>
      </c>
      <c r="P2" s="78"/>
      <c r="Q2" s="108" t="s">
        <v>1404</v>
      </c>
      <c r="R2" s="78"/>
      <c r="S2" s="108" t="s">
        <v>1405</v>
      </c>
      <c r="T2" s="78"/>
      <c r="U2" s="108" t="s">
        <v>1406</v>
      </c>
      <c r="V2" s="78"/>
      <c r="W2" s="108" t="s">
        <v>1443</v>
      </c>
      <c r="X2" s="48"/>
      <c r="Y2" s="108" t="s">
        <v>1421</v>
      </c>
      <c r="Z2" s="48"/>
    </row>
    <row r="3" spans="1:26" s="46" customFormat="1" ht="12.75" customHeight="1" x14ac:dyDescent="0.2">
      <c r="C3" s="108" t="s">
        <v>1390</v>
      </c>
      <c r="D3" s="78"/>
      <c r="E3" s="108" t="s">
        <v>1390</v>
      </c>
      <c r="F3" s="78"/>
      <c r="G3" s="108" t="s">
        <v>1390</v>
      </c>
      <c r="H3" s="78"/>
      <c r="I3" s="108" t="s">
        <v>1390</v>
      </c>
      <c r="J3" s="78"/>
      <c r="K3" s="108" t="s">
        <v>1390</v>
      </c>
      <c r="L3" s="78"/>
      <c r="M3" s="108" t="s">
        <v>1390</v>
      </c>
      <c r="N3" s="78"/>
      <c r="O3" s="108" t="s">
        <v>1390</v>
      </c>
      <c r="P3" s="78"/>
      <c r="Q3" s="108" t="s">
        <v>1390</v>
      </c>
      <c r="R3" s="78"/>
      <c r="S3" s="108" t="s">
        <v>1390</v>
      </c>
      <c r="T3" s="78"/>
      <c r="U3" s="108" t="s">
        <v>1390</v>
      </c>
      <c r="V3" s="78"/>
      <c r="W3" s="108" t="s">
        <v>1390</v>
      </c>
      <c r="X3" s="48"/>
      <c r="Y3" s="108" t="s">
        <v>1390</v>
      </c>
      <c r="Z3" s="48"/>
    </row>
    <row r="4" spans="1:26" s="51" customFormat="1" ht="12.75" customHeight="1" x14ac:dyDescent="0.2">
      <c r="A4" s="50" t="s">
        <v>1379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52"/>
      <c r="Y4" s="106"/>
      <c r="Z4" s="52"/>
    </row>
    <row r="5" spans="1:26" s="51" customFormat="1" ht="12.75" customHeight="1" x14ac:dyDescent="0.2">
      <c r="A5" s="59" t="s">
        <v>1380</v>
      </c>
      <c r="B5" s="85"/>
      <c r="C5" s="79">
        <f>SUM('UT-R'!W52,'UT-R'!W53)</f>
        <v>750</v>
      </c>
      <c r="D5" s="79"/>
      <c r="E5" s="79">
        <f>SUM('GF-R'!W40,'GF-R'!W41)</f>
        <v>7134586</v>
      </c>
      <c r="F5" s="79"/>
      <c r="G5" s="79">
        <f>'04-ESC'!W6</f>
        <v>330000</v>
      </c>
      <c r="H5" s="79"/>
      <c r="I5" s="79">
        <f>'05-SUMM'!W7</f>
        <v>328000</v>
      </c>
      <c r="J5" s="79"/>
      <c r="K5" s="79">
        <v>0</v>
      </c>
      <c r="L5" s="79"/>
      <c r="M5" s="79">
        <v>0</v>
      </c>
      <c r="N5" s="79"/>
      <c r="O5" s="79">
        <f>'08-DEBT'!W8</f>
        <v>2330950</v>
      </c>
      <c r="P5" s="79"/>
      <c r="Q5" s="79">
        <v>0</v>
      </c>
      <c r="R5" s="79"/>
      <c r="S5" s="79">
        <v>0</v>
      </c>
      <c r="T5" s="79"/>
      <c r="U5" s="79">
        <v>0</v>
      </c>
      <c r="V5" s="79"/>
      <c r="W5" s="79">
        <v>0</v>
      </c>
      <c r="X5" s="79"/>
      <c r="Y5" s="79">
        <v>0</v>
      </c>
      <c r="Z5" s="77"/>
    </row>
    <row r="6" spans="1:26" ht="12.75" customHeight="1" x14ac:dyDescent="0.2">
      <c r="A6" s="55" t="s">
        <v>1381</v>
      </c>
      <c r="C6" s="77">
        <v>0</v>
      </c>
      <c r="E6" s="77">
        <f>SUM('GF-R'!W42,'GF-R'!W43,'GF-R'!W72)</f>
        <v>3135000</v>
      </c>
      <c r="G6" s="77">
        <v>0</v>
      </c>
      <c r="I6" s="77">
        <v>0</v>
      </c>
      <c r="K6" s="77">
        <v>0</v>
      </c>
      <c r="M6" s="77">
        <v>0</v>
      </c>
      <c r="O6" s="77">
        <v>0</v>
      </c>
      <c r="Q6" s="77">
        <v>0</v>
      </c>
      <c r="S6" s="77">
        <v>0</v>
      </c>
      <c r="U6" s="77">
        <v>0</v>
      </c>
      <c r="W6" s="77">
        <v>0</v>
      </c>
      <c r="X6" s="77"/>
      <c r="Y6" s="77">
        <v>0</v>
      </c>
      <c r="Z6" s="77"/>
    </row>
    <row r="7" spans="1:26" ht="12.75" customHeight="1" x14ac:dyDescent="0.2">
      <c r="A7" s="59" t="s">
        <v>1382</v>
      </c>
      <c r="B7" s="60"/>
      <c r="C7" s="79">
        <v>0</v>
      </c>
      <c r="D7" s="80"/>
      <c r="E7" s="79">
        <f>SUM('GF-R'!W44,'GF-R'!W45,'GF-R'!W47)</f>
        <v>238000</v>
      </c>
      <c r="F7" s="80"/>
      <c r="G7" s="79">
        <v>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v>0</v>
      </c>
      <c r="P7" s="79"/>
      <c r="Q7" s="79">
        <v>0</v>
      </c>
      <c r="R7" s="79"/>
      <c r="S7" s="79">
        <v>0</v>
      </c>
      <c r="T7" s="79"/>
      <c r="U7" s="79">
        <v>0</v>
      </c>
      <c r="V7" s="79"/>
      <c r="W7" s="79">
        <v>0</v>
      </c>
      <c r="X7" s="79"/>
      <c r="Y7" s="79">
        <v>0</v>
      </c>
      <c r="Z7" s="77"/>
    </row>
    <row r="8" spans="1:26" ht="12.75" customHeight="1" x14ac:dyDescent="0.2">
      <c r="A8" s="55" t="s">
        <v>1383</v>
      </c>
      <c r="C8" s="77">
        <v>0</v>
      </c>
      <c r="E8" s="77">
        <f>SUM('GF-R'!W59,'GF-R'!W62,'GF-R'!W63,'GF-R'!W64,'GF-R'!W65,'GF-R'!W66,'GF-R'!W67,'GF-R'!W68)</f>
        <v>726500</v>
      </c>
      <c r="G8" s="77">
        <v>0</v>
      </c>
      <c r="I8" s="77">
        <v>0</v>
      </c>
      <c r="K8" s="77">
        <v>0</v>
      </c>
      <c r="M8" s="77">
        <v>0</v>
      </c>
      <c r="O8" s="77">
        <v>0</v>
      </c>
      <c r="Q8" s="77">
        <v>0</v>
      </c>
      <c r="S8" s="77">
        <v>0</v>
      </c>
      <c r="U8" s="77">
        <v>0</v>
      </c>
      <c r="W8" s="77">
        <v>0</v>
      </c>
      <c r="X8" s="77"/>
      <c r="Y8" s="77">
        <v>0</v>
      </c>
      <c r="Z8" s="77"/>
    </row>
    <row r="9" spans="1:26" ht="12.75" customHeight="1" x14ac:dyDescent="0.2">
      <c r="A9" s="59" t="s">
        <v>1384</v>
      </c>
      <c r="B9" s="60"/>
      <c r="C9" s="79">
        <v>0</v>
      </c>
      <c r="D9" s="80"/>
      <c r="E9" s="79">
        <f>SUM('GF-R'!W12,'GF-R'!W13,'GF-R'!W16,'GF-R'!W17,'GF-R'!W19,'GF-R'!W20)</f>
        <v>100550</v>
      </c>
      <c r="F9" s="80"/>
      <c r="G9" s="79">
        <v>0</v>
      </c>
      <c r="H9" s="79"/>
      <c r="I9" s="79">
        <v>0</v>
      </c>
      <c r="J9" s="79"/>
      <c r="K9" s="79">
        <v>0</v>
      </c>
      <c r="L9" s="79"/>
      <c r="M9" s="79">
        <v>0</v>
      </c>
      <c r="N9" s="79"/>
      <c r="O9" s="79">
        <v>0</v>
      </c>
      <c r="P9" s="79"/>
      <c r="Q9" s="79">
        <f>'16-MCSAFE'!W6</f>
        <v>9500</v>
      </c>
      <c r="R9" s="79"/>
      <c r="S9" s="79">
        <f>'17-MCTECH'!W6</f>
        <v>1750</v>
      </c>
      <c r="T9" s="79"/>
      <c r="U9" s="79">
        <f>'18-MCSEC'!W6</f>
        <v>1500</v>
      </c>
      <c r="V9" s="79"/>
      <c r="W9" s="79">
        <f>'19-IMPACT'!W6</f>
        <v>0</v>
      </c>
      <c r="X9" s="79"/>
      <c r="Y9" s="79">
        <v>0</v>
      </c>
      <c r="Z9" s="77"/>
    </row>
    <row r="10" spans="1:26" ht="12.75" customHeight="1" x14ac:dyDescent="0.2">
      <c r="A10" s="55" t="s">
        <v>1385</v>
      </c>
      <c r="C10" s="77">
        <f>'UT-R'!W57</f>
        <v>20000</v>
      </c>
      <c r="E10" s="77">
        <f>'GF-R'!W89</f>
        <v>100000</v>
      </c>
      <c r="G10" s="77">
        <f>'04-ESC'!W10</f>
        <v>12500</v>
      </c>
      <c r="I10" s="77">
        <f>'05-SUMM'!W11</f>
        <v>3000</v>
      </c>
      <c r="K10" s="77">
        <f>'06-SEIZ'!W10</f>
        <v>12</v>
      </c>
      <c r="M10" s="77">
        <f>'07-CAP'!W13</f>
        <v>45000</v>
      </c>
      <c r="O10" s="77">
        <f>'08-DEBT'!W12</f>
        <v>15500</v>
      </c>
      <c r="Q10" s="77">
        <v>0</v>
      </c>
      <c r="S10" s="77">
        <v>0</v>
      </c>
      <c r="U10" s="77">
        <v>0</v>
      </c>
      <c r="W10" s="77">
        <v>0</v>
      </c>
      <c r="X10" s="77"/>
      <c r="Y10" s="77">
        <v>0</v>
      </c>
      <c r="Z10" s="77"/>
    </row>
    <row r="11" spans="1:26" ht="12.75" customHeight="1" x14ac:dyDescent="0.2">
      <c r="A11" s="59" t="s">
        <v>1386</v>
      </c>
      <c r="B11" s="60"/>
      <c r="C11" s="79">
        <f>SUM('UT-R'!W7,'UT-R'!W8,'UT-R'!W9,'UT-R'!W10,'UT-R'!W15,'UT-R'!W28,'UT-R'!W29,'UT-R'!W41)</f>
        <v>942600</v>
      </c>
      <c r="D11" s="80"/>
      <c r="E11" s="79">
        <f>SUM('GF-R'!W8,'GF-R'!W9,'GF-R'!W24,'GF-R'!W29,'GF-R'!W32,'GF-R'!W36,'GF-R'!W52,'GF-R'!W53,'GF-R'!W54,'GF-R'!W60,'GF-R'!W75,'GF-R'!W76,'GF-R'!W77,'GF-R'!W78,'GF-R'!W79,'GF-R'!W84,'GF-R'!W85)</f>
        <v>1770200</v>
      </c>
      <c r="F11" s="80"/>
      <c r="G11" s="79">
        <v>0</v>
      </c>
      <c r="H11" s="79"/>
      <c r="I11" s="79">
        <v>0</v>
      </c>
      <c r="J11" s="79"/>
      <c r="K11" s="79">
        <f>'06-SEIZ'!W6</f>
        <v>0</v>
      </c>
      <c r="L11" s="79"/>
      <c r="M11" s="79">
        <f>'07-CAP'!W18</f>
        <v>9000000</v>
      </c>
      <c r="N11" s="79"/>
      <c r="O11" s="79">
        <v>0</v>
      </c>
      <c r="P11" s="79"/>
      <c r="Q11" s="79">
        <v>0</v>
      </c>
      <c r="R11" s="79"/>
      <c r="S11" s="79">
        <v>0</v>
      </c>
      <c r="T11" s="79"/>
      <c r="U11" s="79">
        <v>0</v>
      </c>
      <c r="V11" s="79"/>
      <c r="W11" s="79">
        <v>0</v>
      </c>
      <c r="X11" s="79"/>
      <c r="Y11" s="79">
        <v>0</v>
      </c>
      <c r="Z11" s="77"/>
    </row>
    <row r="12" spans="1:26" ht="12.75" customHeight="1" x14ac:dyDescent="0.2">
      <c r="A12" s="55" t="s">
        <v>1387</v>
      </c>
      <c r="C12" s="77">
        <f>SUM('UT-R'!W22,'UT-R'!W23,'UT-R'!W24,'UT-R'!W25,'UT-R'!W26,'UT-R'!W27,'UT-R'!W35,'UT-R'!W36,'UT-R'!W37,'UT-R'!W38,'UT-R'!W39,'UT-R'!W40,'UT-R'!W45,'UT-R'!W46,'UT-R'!W47)</f>
        <v>12163800</v>
      </c>
      <c r="E12" s="77">
        <v>0</v>
      </c>
      <c r="G12" s="77">
        <v>0</v>
      </c>
      <c r="I12" s="77">
        <f>'06-SEIZ'!I18</f>
        <v>0</v>
      </c>
      <c r="K12" s="77">
        <f>'06-SEIZ'!K18</f>
        <v>0</v>
      </c>
      <c r="M12" s="77">
        <v>0</v>
      </c>
      <c r="O12" s="77">
        <v>0</v>
      </c>
      <c r="Q12" s="77">
        <v>0</v>
      </c>
      <c r="S12" s="77">
        <v>0</v>
      </c>
      <c r="U12" s="77">
        <v>0</v>
      </c>
      <c r="W12" s="77">
        <v>0</v>
      </c>
      <c r="X12" s="77"/>
      <c r="Y12" s="77">
        <v>0</v>
      </c>
      <c r="Z12" s="77"/>
    </row>
    <row r="13" spans="1:26" ht="12.75" customHeight="1" x14ac:dyDescent="0.2">
      <c r="A13" s="59" t="s">
        <v>1388</v>
      </c>
      <c r="B13" s="60"/>
      <c r="C13" s="79">
        <f>SUM('UT-R'!W61,'UT-R'!W62)</f>
        <v>4828000</v>
      </c>
      <c r="D13" s="80"/>
      <c r="E13" s="79">
        <f>'GF-R'!W93</f>
        <v>600000</v>
      </c>
      <c r="F13" s="80"/>
      <c r="G13" s="79">
        <v>0</v>
      </c>
      <c r="H13" s="79"/>
      <c r="I13" s="79">
        <f>'04-ESC'!I18</f>
        <v>0</v>
      </c>
      <c r="J13" s="79"/>
      <c r="K13" s="79">
        <f>'06-SEIZ'!W15</f>
        <v>8984.68</v>
      </c>
      <c r="L13" s="79"/>
      <c r="M13" s="79">
        <f>'07-CAP'!W22</f>
        <v>8995000</v>
      </c>
      <c r="N13" s="79"/>
      <c r="O13" s="79">
        <v>0</v>
      </c>
      <c r="P13" s="79"/>
      <c r="Q13" s="79">
        <f>'16-MCSAFE'!W10</f>
        <v>0</v>
      </c>
      <c r="R13" s="79"/>
      <c r="S13" s="79">
        <f>'17-MCTECH'!W10</f>
        <v>0</v>
      </c>
      <c r="T13" s="79"/>
      <c r="U13" s="79">
        <f>'18-MCSEC'!W10</f>
        <v>0</v>
      </c>
      <c r="V13" s="79"/>
      <c r="W13" s="79">
        <f>'19-IMPACT'!W10</f>
        <v>0</v>
      </c>
      <c r="X13" s="79"/>
      <c r="Y13" s="79">
        <f>'21-VEH REP'!W8</f>
        <v>200000</v>
      </c>
      <c r="Z13" s="77"/>
    </row>
    <row r="14" spans="1:26" ht="12.75" customHeight="1" x14ac:dyDescent="0.2">
      <c r="A14" s="67" t="s">
        <v>1392</v>
      </c>
      <c r="C14" s="81">
        <f>SUM(C5:C13)</f>
        <v>17955150</v>
      </c>
      <c r="E14" s="81">
        <f>SUM(E5:E13)</f>
        <v>13804836</v>
      </c>
      <c r="G14" s="81">
        <f>SUM(G5:G13)</f>
        <v>342500</v>
      </c>
      <c r="I14" s="81">
        <f>SUM(I5:I13)</f>
        <v>331000</v>
      </c>
      <c r="K14" s="81">
        <f>SUM(K5:K13)</f>
        <v>8996.68</v>
      </c>
      <c r="M14" s="81">
        <f>SUM(M5:M13)</f>
        <v>18040000</v>
      </c>
      <c r="O14" s="81">
        <f>SUM(O5:O13)</f>
        <v>2346450</v>
      </c>
      <c r="Q14" s="81">
        <f>SUM(Q5:Q13)</f>
        <v>9500</v>
      </c>
      <c r="S14" s="81">
        <f>SUM(S5:S13)</f>
        <v>1750</v>
      </c>
      <c r="U14" s="81">
        <f>SUM(U5:U13)</f>
        <v>1500</v>
      </c>
      <c r="W14" s="81">
        <f>SUM(W5:W13)</f>
        <v>0</v>
      </c>
      <c r="X14" s="77"/>
      <c r="Y14" s="81">
        <f>SUM(Y5:Y13)</f>
        <v>200000</v>
      </c>
      <c r="Z14" s="77"/>
    </row>
    <row r="15" spans="1:26" ht="12.75" customHeight="1" x14ac:dyDescent="0.2">
      <c r="X15" s="77"/>
      <c r="Z15" s="77"/>
    </row>
    <row r="16" spans="1:26" ht="12.75" customHeight="1" x14ac:dyDescent="0.2">
      <c r="X16" s="77"/>
      <c r="Z16" s="77"/>
    </row>
    <row r="17" spans="1:26" ht="12.75" customHeight="1" x14ac:dyDescent="0.2">
      <c r="A17" s="67" t="s">
        <v>1393</v>
      </c>
      <c r="X17" s="77"/>
      <c r="Z17" s="77"/>
    </row>
    <row r="18" spans="1:26" ht="12.75" customHeight="1" x14ac:dyDescent="0.2">
      <c r="A18" s="59" t="s">
        <v>38</v>
      </c>
      <c r="B18" s="60"/>
      <c r="C18" s="79">
        <f>SUM('UT-E ADM'!W13,'UT-E PROD'!W13,'UT-E DIST'!W13,'UT-E TRE'!W13,'UT-E COLL'!W13,'UT-E REC'!W14)</f>
        <v>3383000</v>
      </c>
      <c r="D18" s="80"/>
      <c r="E18" s="79">
        <f>SUM('GF-E ADM'!W14,'GF-E IT'!W12,'GF-E FIRE'!W15,'GF-E POL'!W13,'GF-E AC'!W14,'GF-E DEV'!W13,'GF-E STR'!W13)</f>
        <v>7984750</v>
      </c>
      <c r="F18" s="80"/>
      <c r="G18" s="79">
        <v>0</v>
      </c>
      <c r="H18" s="79"/>
      <c r="I18" s="79">
        <v>0</v>
      </c>
      <c r="J18" s="79"/>
      <c r="K18" s="79">
        <v>0</v>
      </c>
      <c r="L18" s="79"/>
      <c r="M18" s="79">
        <v>0</v>
      </c>
      <c r="N18" s="79"/>
      <c r="O18" s="79">
        <v>0</v>
      </c>
      <c r="P18" s="79"/>
      <c r="Q18" s="79">
        <v>0</v>
      </c>
      <c r="R18" s="79"/>
      <c r="S18" s="79">
        <v>0</v>
      </c>
      <c r="T18" s="79"/>
      <c r="U18" s="79">
        <v>0</v>
      </c>
      <c r="V18" s="79"/>
      <c r="W18" s="79">
        <v>0</v>
      </c>
      <c r="X18" s="79"/>
      <c r="Y18" s="79">
        <v>0</v>
      </c>
      <c r="Z18" s="77"/>
    </row>
    <row r="19" spans="1:26" ht="12.75" customHeight="1" x14ac:dyDescent="0.2">
      <c r="A19" s="55" t="s">
        <v>48</v>
      </c>
      <c r="C19" s="77">
        <f>SUM('UT-E ADM'!W35,'UT-E PROD'!W23,'UT-E DIST'!W22,'UT-E TRE'!W21,'UT-E COLL'!W22,'UT-E REC'!W21)</f>
        <v>3823310</v>
      </c>
      <c r="E19" s="77">
        <f>SUM('GF-E ADM'!W42,'GF-E IT'!W20,'GF-E FIRE'!W28,'GF-E POL'!W25,'GF-E AC'!W22,'GF-E DEV'!W25,'GF-E STR'!W20)</f>
        <v>2490750</v>
      </c>
      <c r="G19" s="77">
        <v>0</v>
      </c>
      <c r="I19" s="77">
        <v>0</v>
      </c>
      <c r="K19" s="77">
        <v>0</v>
      </c>
      <c r="M19" s="77">
        <v>0</v>
      </c>
      <c r="O19" s="77">
        <v>0</v>
      </c>
      <c r="Q19" s="77">
        <v>0</v>
      </c>
      <c r="S19" s="77">
        <v>0</v>
      </c>
      <c r="U19" s="77">
        <v>0</v>
      </c>
      <c r="W19" s="77">
        <v>0</v>
      </c>
      <c r="X19" s="77"/>
      <c r="Y19" s="77">
        <v>0</v>
      </c>
      <c r="Z19" s="77"/>
    </row>
    <row r="20" spans="1:26" ht="12.75" customHeight="1" x14ac:dyDescent="0.2">
      <c r="A20" s="59" t="s">
        <v>65</v>
      </c>
      <c r="B20" s="60"/>
      <c r="C20" s="79">
        <f>SUM('UT-E ADM'!W40,'UT-E PROD'!W32,'UT-E DIST'!W30,'UT-E TRE'!W28,'UT-E COLL'!W33,'UT-E REC'!W25)</f>
        <v>1415000</v>
      </c>
      <c r="D20" s="80"/>
      <c r="E20" s="79">
        <f>SUM('GF-E ADM'!W47,'GF-E FIRE'!W33,'GF-E POL'!W31,'GF-E AC'!W26,'GF-E DEV'!W29,'GF-E STR'!W25)</f>
        <v>257000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v>0</v>
      </c>
      <c r="P20" s="79"/>
      <c r="Q20" s="79">
        <v>0</v>
      </c>
      <c r="R20" s="79"/>
      <c r="S20" s="79">
        <v>0</v>
      </c>
      <c r="T20" s="79"/>
      <c r="U20" s="79">
        <v>0</v>
      </c>
      <c r="V20" s="79"/>
      <c r="W20" s="79">
        <v>0</v>
      </c>
      <c r="X20" s="79"/>
      <c r="Y20" s="79">
        <v>0</v>
      </c>
      <c r="Z20" s="77"/>
    </row>
    <row r="21" spans="1:26" ht="12.75" customHeight="1" x14ac:dyDescent="0.2">
      <c r="A21" s="55" t="s">
        <v>69</v>
      </c>
      <c r="C21" s="77">
        <f>SUM('UT-E ADM'!W56,'UT-E PROD'!W39,'UT-E DIST'!W41,'UT-E TRE'!W36,'UT-E COLL'!W43,'UT-E REC'!W29)</f>
        <v>1066750</v>
      </c>
      <c r="E21" s="77">
        <f>SUM('GF-E ADM'!W79,'GF-E IT'!W24,'GF-E FIRE'!W43,'GF-E POL'!W41,'GF-E AC'!W32,'GF-E DEV'!W39,'GF-E STR'!W41,'GF-E MOW'!W8)</f>
        <v>1635650</v>
      </c>
      <c r="G21" s="77">
        <f>'04-ESC'!W28</f>
        <v>342500</v>
      </c>
      <c r="I21" s="77">
        <f>'05-SUMM'!W21</f>
        <v>0</v>
      </c>
      <c r="K21" s="77">
        <f>'06-SEIZ'!W24</f>
        <v>8996.68</v>
      </c>
      <c r="M21" s="77">
        <v>0</v>
      </c>
      <c r="O21" s="77">
        <v>0</v>
      </c>
      <c r="Q21" s="77">
        <f>'16-MCSAFE'!W19</f>
        <v>9500</v>
      </c>
      <c r="S21" s="77">
        <f>'17-MCTECH'!W19</f>
        <v>1750</v>
      </c>
      <c r="U21" s="77">
        <f>'18-MCSEC'!W19</f>
        <v>1500</v>
      </c>
      <c r="W21" s="77">
        <f>'19-IMPACT'!W19</f>
        <v>0</v>
      </c>
      <c r="X21" s="77"/>
      <c r="Y21" s="77">
        <v>0</v>
      </c>
      <c r="Z21" s="77"/>
    </row>
    <row r="22" spans="1:26" ht="12.75" customHeight="1" x14ac:dyDescent="0.2">
      <c r="A22" s="59" t="s">
        <v>388</v>
      </c>
      <c r="B22" s="60"/>
      <c r="C22" s="79">
        <f>SUM('UT-E CAP'!W13)</f>
        <v>5428000</v>
      </c>
      <c r="D22" s="80"/>
      <c r="E22" s="79">
        <f>SUM('GF-E ADM'!W83,'GF-E IT'!W28,'GF-E FIRE'!W49,'GF-E POL'!W47,'GF-E DEV'!W44,'GF-E STR'!W47,'GF-E CAP'!W11)</f>
        <v>374000</v>
      </c>
      <c r="F22" s="80"/>
      <c r="G22" s="79">
        <v>0</v>
      </c>
      <c r="H22" s="79"/>
      <c r="I22" s="79">
        <v>0</v>
      </c>
      <c r="J22" s="79"/>
      <c r="K22" s="79">
        <v>0</v>
      </c>
      <c r="L22" s="79"/>
      <c r="M22" s="79">
        <f>'07-CAP'!W47</f>
        <v>13540000</v>
      </c>
      <c r="N22" s="79"/>
      <c r="O22" s="79">
        <v>0</v>
      </c>
      <c r="P22" s="79"/>
      <c r="Q22" s="79">
        <v>0</v>
      </c>
      <c r="R22" s="79"/>
      <c r="S22" s="79">
        <v>0</v>
      </c>
      <c r="T22" s="79"/>
      <c r="U22" s="79">
        <v>0</v>
      </c>
      <c r="V22" s="79"/>
      <c r="W22" s="79">
        <v>0</v>
      </c>
      <c r="X22" s="79"/>
      <c r="Y22" s="79">
        <f>'21-VEH REP'!W18</f>
        <v>0</v>
      </c>
      <c r="Z22" s="77"/>
    </row>
    <row r="23" spans="1:26" ht="12.75" customHeight="1" x14ac:dyDescent="0.2">
      <c r="A23" s="55" t="s">
        <v>842</v>
      </c>
      <c r="C23" s="77">
        <f>'UT-E DEBT'!W21</f>
        <v>1724600</v>
      </c>
      <c r="E23" s="77">
        <v>0</v>
      </c>
      <c r="G23" s="77">
        <v>0</v>
      </c>
      <c r="I23" s="77">
        <v>0</v>
      </c>
      <c r="K23" s="77">
        <v>0</v>
      </c>
      <c r="M23" s="77">
        <v>0</v>
      </c>
      <c r="O23" s="77">
        <f>'08-DEBT'!W46</f>
        <v>2346450</v>
      </c>
      <c r="Q23" s="77">
        <v>0</v>
      </c>
      <c r="S23" s="77">
        <v>0</v>
      </c>
      <c r="U23" s="77">
        <v>0</v>
      </c>
      <c r="W23" s="77">
        <v>0</v>
      </c>
      <c r="X23" s="77"/>
      <c r="Y23" s="77">
        <v>0</v>
      </c>
      <c r="Z23" s="77"/>
    </row>
    <row r="24" spans="1:26" ht="12.75" customHeight="1" x14ac:dyDescent="0.2">
      <c r="A24" s="59" t="s">
        <v>1366</v>
      </c>
      <c r="B24" s="60"/>
      <c r="C24" s="79">
        <f>'UT-XFER TO'!W10</f>
        <v>1114490</v>
      </c>
      <c r="D24" s="80"/>
      <c r="E24" s="79">
        <f>'GF-XFER TO'!W8</f>
        <v>1062686</v>
      </c>
      <c r="F24" s="80"/>
      <c r="G24" s="79">
        <v>0</v>
      </c>
      <c r="H24" s="79"/>
      <c r="I24" s="79">
        <f>'05-SUMM'!W27</f>
        <v>331000</v>
      </c>
      <c r="J24" s="79"/>
      <c r="K24" s="79">
        <v>0</v>
      </c>
      <c r="L24" s="79"/>
      <c r="M24" s="79">
        <f>'07-CAP'!W51</f>
        <v>4500000</v>
      </c>
      <c r="N24" s="79"/>
      <c r="O24" s="79">
        <v>0</v>
      </c>
      <c r="P24" s="79"/>
      <c r="Q24" s="79">
        <v>0</v>
      </c>
      <c r="R24" s="79"/>
      <c r="S24" s="79">
        <v>0</v>
      </c>
      <c r="T24" s="79"/>
      <c r="U24" s="79">
        <v>0</v>
      </c>
      <c r="V24" s="79"/>
      <c r="W24" s="79">
        <v>0</v>
      </c>
      <c r="X24" s="79"/>
      <c r="Y24" s="79">
        <f>'21-VEH REP'!W22</f>
        <v>200000</v>
      </c>
      <c r="Z24" s="77"/>
    </row>
    <row r="25" spans="1:26" ht="12.75" customHeight="1" x14ac:dyDescent="0.2">
      <c r="A25" s="67" t="s">
        <v>1109</v>
      </c>
      <c r="C25" s="81">
        <f>SUM(C18:C24)</f>
        <v>17955150</v>
      </c>
      <c r="E25" s="81">
        <f>SUM(E18:E24)</f>
        <v>13804836</v>
      </c>
      <c r="G25" s="81">
        <f>SUM(G18:G24)</f>
        <v>342500</v>
      </c>
      <c r="I25" s="81">
        <f>SUM(I18:I24)</f>
        <v>331000</v>
      </c>
      <c r="K25" s="81">
        <f>SUM(K18:K24)</f>
        <v>8996.68</v>
      </c>
      <c r="M25" s="81">
        <f>SUM(M18:M24)</f>
        <v>18040000</v>
      </c>
      <c r="O25" s="81">
        <f>SUM(O18:O24)</f>
        <v>2346450</v>
      </c>
      <c r="Q25" s="81">
        <f>SUM(Q18:Q24)</f>
        <v>9500</v>
      </c>
      <c r="S25" s="81">
        <f>SUM(S18:S24)</f>
        <v>1750</v>
      </c>
      <c r="U25" s="81">
        <f>SUM(U18:U24)</f>
        <v>1500</v>
      </c>
      <c r="W25" s="81">
        <f>SUM(W18:W24)</f>
        <v>0</v>
      </c>
      <c r="X25" s="77"/>
      <c r="Y25" s="81">
        <f>SUM(Y18:Y24)</f>
        <v>200000</v>
      </c>
      <c r="Z25" s="77"/>
    </row>
    <row r="26" spans="1:26" ht="12.75" customHeight="1" x14ac:dyDescent="0.2">
      <c r="X26" s="77"/>
      <c r="Z26" s="77"/>
    </row>
    <row r="27" spans="1:26" ht="12.75" customHeight="1" x14ac:dyDescent="0.2">
      <c r="A27" s="70" t="s">
        <v>787</v>
      </c>
      <c r="C27" s="77">
        <f>'UT-SUMM'!W35</f>
        <v>3936515.7200000007</v>
      </c>
      <c r="E27" s="77">
        <f>'GF-SUMM'!W38</f>
        <v>7382190.3300000047</v>
      </c>
      <c r="G27" s="77">
        <f>'04-ESC'!W41</f>
        <v>853283.29000000097</v>
      </c>
      <c r="I27" s="77">
        <f>'05-SUMM'!W35</f>
        <v>366580.93</v>
      </c>
      <c r="K27" s="77">
        <f>'06-SEIZ'!W33</f>
        <v>8984.4699999999993</v>
      </c>
      <c r="M27" s="77">
        <f>'07-CAP'!W59</f>
        <v>11805984.57</v>
      </c>
      <c r="O27" s="77">
        <f>'08-DEBT'!W54</f>
        <v>464434.23000000132</v>
      </c>
      <c r="Q27" s="77">
        <f>'16-MCSAFE'!W29</f>
        <v>29462.67</v>
      </c>
      <c r="S27" s="77">
        <f>'17-MCTECH'!W29</f>
        <v>8123.12</v>
      </c>
      <c r="U27" s="77">
        <f>'18-MCSEC'!W29</f>
        <v>11356.84</v>
      </c>
      <c r="W27" s="77">
        <f>'19-IMPACT'!W26</f>
        <v>22183</v>
      </c>
      <c r="X27" s="77"/>
      <c r="Y27" s="77">
        <f>'21-VEH REP'!W30</f>
        <v>0</v>
      </c>
      <c r="Z27" s="77"/>
    </row>
    <row r="28" spans="1:26" ht="12.75" customHeight="1" x14ac:dyDescent="0.2">
      <c r="X28" s="57"/>
      <c r="Z28" s="57"/>
    </row>
    <row r="29" spans="1:26" ht="12.75" customHeight="1" x14ac:dyDescent="0.2">
      <c r="A29" s="70" t="s">
        <v>788</v>
      </c>
      <c r="C29" s="77">
        <f>'UT-SUMM'!W37</f>
        <v>514490</v>
      </c>
      <c r="E29" s="77">
        <f>'GF-SUMM'!W40</f>
        <v>862686</v>
      </c>
      <c r="G29" s="77">
        <f>'04-ESC'!W43</f>
        <v>0</v>
      </c>
      <c r="I29" s="77">
        <f>'05-SUMM'!W37</f>
        <v>3000</v>
      </c>
      <c r="K29" s="77">
        <f>'06-SEIZ'!W35</f>
        <v>-8984.68</v>
      </c>
      <c r="M29" s="77">
        <f>'07-CAP'!W61</f>
        <v>-8995000</v>
      </c>
      <c r="O29" s="77">
        <f>'08-DEBT'!W56</f>
        <v>0</v>
      </c>
      <c r="Q29" s="77">
        <f>'16-MCSAFE'!W31</f>
        <v>0</v>
      </c>
      <c r="S29" s="77">
        <f>'17-MCTECH'!W31</f>
        <v>0</v>
      </c>
      <c r="U29" s="77">
        <f>'18-MCSEC'!W31</f>
        <v>0</v>
      </c>
      <c r="W29" s="77">
        <f>'19-IMPACT'!W28</f>
        <v>0</v>
      </c>
      <c r="X29" s="57"/>
      <c r="Y29" s="77">
        <f>'21-VEH REP'!W32</f>
        <v>200000</v>
      </c>
      <c r="Z29" s="57"/>
    </row>
    <row r="30" spans="1:26" ht="12.75" customHeight="1" x14ac:dyDescent="0.2">
      <c r="X30" s="57"/>
      <c r="Z30" s="57"/>
    </row>
    <row r="31" spans="1:26" ht="12.75" customHeight="1" thickBot="1" x14ac:dyDescent="0.25">
      <c r="A31" s="67" t="s">
        <v>1408</v>
      </c>
      <c r="C31" s="83">
        <f>SUM(C27,C14,-C25,C29)</f>
        <v>4451005.7199999988</v>
      </c>
      <c r="E31" s="83">
        <f>SUM(E27,E14,-E25,E29)</f>
        <v>8244876.3300000057</v>
      </c>
      <c r="G31" s="83">
        <f>SUM(G27,G14,-G25,G29)</f>
        <v>853283.29000000097</v>
      </c>
      <c r="I31" s="83">
        <f>SUM(I27,I14,-I25,I29)</f>
        <v>369580.92999999993</v>
      </c>
      <c r="K31" s="83">
        <f>SUM(K27,K14,-K25,K29)</f>
        <v>-0.20999999999912689</v>
      </c>
      <c r="M31" s="83">
        <f>SUM(M27,M14,-M25,M29)</f>
        <v>2810984.5700000003</v>
      </c>
      <c r="O31" s="83">
        <f>SUM(O27,O14,-O25,O29)</f>
        <v>464434.23000000138</v>
      </c>
      <c r="Q31" s="83">
        <f>SUM(Q27,Q14,-Q25,Q29)</f>
        <v>29462.67</v>
      </c>
      <c r="S31" s="83">
        <f>SUM(S27,S14,-S25,S29)</f>
        <v>8123.119999999999</v>
      </c>
      <c r="U31" s="83">
        <f>SUM(U27,U14,-U25,U29)</f>
        <v>11356.84</v>
      </c>
      <c r="W31" s="83">
        <f>SUM(W27,W14,-W25,W29)</f>
        <v>22183</v>
      </c>
      <c r="X31" s="57"/>
      <c r="Y31" s="83">
        <f>SUM(Y27,Y14,-Y25,Y29)</f>
        <v>200000</v>
      </c>
      <c r="Z31" s="57"/>
    </row>
    <row r="32" spans="1:26" ht="12.75" customHeight="1" thickTop="1" x14ac:dyDescent="0.2">
      <c r="X32" s="57"/>
      <c r="Z32" s="57"/>
    </row>
    <row r="33" spans="24:26" ht="12.75" customHeight="1" x14ac:dyDescent="0.2">
      <c r="X33" s="57"/>
      <c r="Z33" s="57"/>
    </row>
    <row r="34" spans="24:26" x14ac:dyDescent="0.2">
      <c r="X34" s="57"/>
      <c r="Z34" s="57"/>
    </row>
    <row r="35" spans="24:26" x14ac:dyDescent="0.2">
      <c r="X35" s="57"/>
      <c r="Z35" s="57"/>
    </row>
    <row r="36" spans="24:26" x14ac:dyDescent="0.2">
      <c r="X36" s="57"/>
      <c r="Z36" s="57"/>
    </row>
    <row r="37" spans="24:26" x14ac:dyDescent="0.2">
      <c r="X37" s="57"/>
      <c r="Z37" s="57"/>
    </row>
    <row r="38" spans="24:26" x14ac:dyDescent="0.2">
      <c r="X38" s="57"/>
      <c r="Z38" s="57"/>
    </row>
    <row r="39" spans="24:26" x14ac:dyDescent="0.2">
      <c r="X39" s="57"/>
      <c r="Z39" s="57"/>
    </row>
    <row r="40" spans="24:26" x14ac:dyDescent="0.2">
      <c r="X40" s="57"/>
      <c r="Z40" s="57"/>
    </row>
    <row r="41" spans="24:26" x14ac:dyDescent="0.2">
      <c r="X41" s="57"/>
      <c r="Z41" s="57"/>
    </row>
    <row r="42" spans="24:26" x14ac:dyDescent="0.2">
      <c r="X42" s="57"/>
      <c r="Z42" s="57"/>
    </row>
    <row r="43" spans="24:26" x14ac:dyDescent="0.2">
      <c r="X43" s="57"/>
      <c r="Z43" s="57"/>
    </row>
    <row r="44" spans="24:26" x14ac:dyDescent="0.2">
      <c r="X44" s="57"/>
      <c r="Z44" s="57"/>
    </row>
    <row r="45" spans="24:26" x14ac:dyDescent="0.2">
      <c r="X45" s="57"/>
      <c r="Z45" s="57"/>
    </row>
    <row r="46" spans="24:26" x14ac:dyDescent="0.2">
      <c r="X46" s="57"/>
      <c r="Z46" s="57"/>
    </row>
    <row r="47" spans="24:26" x14ac:dyDescent="0.2">
      <c r="X47" s="57"/>
      <c r="Z47" s="57"/>
    </row>
    <row r="48" spans="24:26" x14ac:dyDescent="0.2">
      <c r="X48" s="57"/>
      <c r="Z48" s="57"/>
    </row>
    <row r="49" spans="24:26" x14ac:dyDescent="0.2">
      <c r="X49" s="57"/>
      <c r="Z49" s="57"/>
    </row>
    <row r="50" spans="24:26" x14ac:dyDescent="0.2">
      <c r="X50" s="57"/>
      <c r="Z50" s="57"/>
    </row>
    <row r="51" spans="24:26" x14ac:dyDescent="0.2">
      <c r="X51" s="57"/>
      <c r="Z51" s="57"/>
    </row>
    <row r="52" spans="24:26" x14ac:dyDescent="0.2">
      <c r="X52" s="57"/>
      <c r="Z52" s="57"/>
    </row>
    <row r="53" spans="24:26" x14ac:dyDescent="0.2">
      <c r="X53" s="57"/>
      <c r="Z53" s="57"/>
    </row>
    <row r="54" spans="24:26" x14ac:dyDescent="0.2">
      <c r="X54" s="57"/>
      <c r="Z54" s="57"/>
    </row>
    <row r="55" spans="24:26" x14ac:dyDescent="0.2">
      <c r="X55" s="57"/>
      <c r="Z55" s="57"/>
    </row>
    <row r="56" spans="24:26" x14ac:dyDescent="0.2">
      <c r="X56" s="57"/>
      <c r="Z56" s="57"/>
    </row>
    <row r="57" spans="24:26" x14ac:dyDescent="0.2">
      <c r="X57" s="57"/>
      <c r="Z57" s="57"/>
    </row>
    <row r="58" spans="24:26" x14ac:dyDescent="0.2">
      <c r="X58" s="57"/>
      <c r="Z58" s="57"/>
    </row>
    <row r="59" spans="24:26" x14ac:dyDescent="0.2">
      <c r="X59" s="57"/>
      <c r="Z59" s="57"/>
    </row>
    <row r="60" spans="24:26" x14ac:dyDescent="0.2">
      <c r="X60" s="57"/>
      <c r="Z60" s="57"/>
    </row>
    <row r="61" spans="24:26" x14ac:dyDescent="0.2">
      <c r="X61" s="57"/>
      <c r="Z61" s="57"/>
    </row>
    <row r="62" spans="24:26" x14ac:dyDescent="0.2">
      <c r="X62" s="57"/>
      <c r="Z62" s="57"/>
    </row>
    <row r="63" spans="24:26" x14ac:dyDescent="0.2">
      <c r="X63" s="57"/>
      <c r="Z63" s="57"/>
    </row>
    <row r="64" spans="24:26" x14ac:dyDescent="0.2">
      <c r="X64" s="57"/>
      <c r="Z64" s="57"/>
    </row>
    <row r="65" spans="24:26" x14ac:dyDescent="0.2">
      <c r="X65" s="57"/>
      <c r="Z65" s="57"/>
    </row>
    <row r="66" spans="24:26" x14ac:dyDescent="0.2">
      <c r="X66" s="57"/>
      <c r="Z66" s="57"/>
    </row>
    <row r="67" spans="24:26" x14ac:dyDescent="0.2">
      <c r="X67" s="57"/>
      <c r="Z67" s="57"/>
    </row>
    <row r="68" spans="24:26" x14ac:dyDescent="0.2">
      <c r="X68" s="57"/>
      <c r="Z68" s="57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13D9-C70B-4E53-AFBB-B015F7ADFC78}">
  <sheetPr>
    <tabColor rgb="FF92D050"/>
  </sheetPr>
  <dimension ref="A1:AJ114"/>
  <sheetViews>
    <sheetView showGridLines="0" zoomScaleNormal="100" workbookViewId="0">
      <pane xSplit="2" ySplit="3" topLeftCell="P4" activePane="bottomRight" state="frozen"/>
      <selection activeCell="AG19" sqref="AG19"/>
      <selection pane="topRight" activeCell="AG19" sqref="AG19"/>
      <selection pane="bottomLeft" activeCell="AG19" sqref="AG19"/>
      <selection pane="bottomRight" activeCell="W18" sqref="W18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744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H5" s="52"/>
      <c r="AI5" s="52"/>
      <c r="AJ5" s="52"/>
    </row>
    <row r="6" spans="1:36" x14ac:dyDescent="0.2">
      <c r="A6" s="59" t="s">
        <v>677</v>
      </c>
      <c r="B6" s="60" t="s">
        <v>219</v>
      </c>
      <c r="C6" s="79">
        <v>314685.09999999998</v>
      </c>
      <c r="D6" s="80"/>
      <c r="E6" s="79">
        <v>384652.52</v>
      </c>
      <c r="F6" s="80"/>
      <c r="G6" s="79">
        <v>368580.93</v>
      </c>
      <c r="H6" s="79"/>
      <c r="I6" s="79">
        <v>568200</v>
      </c>
      <c r="J6" s="79"/>
      <c r="K6" s="79">
        <v>559000</v>
      </c>
      <c r="L6" s="79"/>
      <c r="M6" s="79">
        <v>552582.31999999995</v>
      </c>
      <c r="N6" s="79"/>
      <c r="O6" s="79">
        <f>PRODUCT(M6,0/12)</f>
        <v>0</v>
      </c>
      <c r="P6" s="79"/>
      <c r="Q6" s="79">
        <f t="shared" ref="Q6:Q12" si="0">SUM(M6,O6)</f>
        <v>552582.31999999995</v>
      </c>
      <c r="R6" s="79"/>
      <c r="S6" s="79">
        <v>590000</v>
      </c>
      <c r="T6" s="79"/>
      <c r="U6" s="79">
        <v>590000</v>
      </c>
      <c r="V6" s="79"/>
      <c r="W6" s="79">
        <v>590000</v>
      </c>
      <c r="X6" s="79"/>
      <c r="Y6" s="79">
        <f t="shared" ref="Y6:Y12" si="1">SUM(W6,-I6)</f>
        <v>21800</v>
      </c>
      <c r="Z6" s="62"/>
      <c r="AA6" s="63">
        <f>IF(W6=0,"N/A",PRODUCT(Y6,1/I6))</f>
        <v>3.8366772263287573E-2</v>
      </c>
      <c r="AB6" s="62"/>
      <c r="AC6" s="79">
        <f t="shared" ref="AC6:AC12" si="2">SUM(W6,-Q6)</f>
        <v>37417.680000000051</v>
      </c>
      <c r="AD6" s="62"/>
      <c r="AE6" s="63">
        <f>IF(W6=0,"N/A",PRODUCT(AC6,1/Q6))</f>
        <v>6.7714218580138527E-2</v>
      </c>
      <c r="AF6" s="57"/>
      <c r="AH6" s="57"/>
      <c r="AI6" s="57"/>
      <c r="AJ6" s="57"/>
    </row>
    <row r="7" spans="1:36" x14ac:dyDescent="0.2">
      <c r="A7" s="55" t="s">
        <v>678</v>
      </c>
      <c r="B7" s="56" t="s">
        <v>220</v>
      </c>
      <c r="C7" s="77">
        <v>0</v>
      </c>
      <c r="E7" s="77">
        <v>428.19</v>
      </c>
      <c r="G7" s="77">
        <v>0</v>
      </c>
      <c r="I7" s="77">
        <v>1500</v>
      </c>
      <c r="K7" s="77">
        <v>1500</v>
      </c>
      <c r="M7" s="77">
        <v>66.69</v>
      </c>
      <c r="O7" s="77">
        <f>PRODUCT(M7,0/12)</f>
        <v>0</v>
      </c>
      <c r="Q7" s="77">
        <f t="shared" si="0"/>
        <v>66.69</v>
      </c>
      <c r="S7" s="77">
        <v>500</v>
      </c>
      <c r="U7" s="77">
        <v>500</v>
      </c>
      <c r="W7" s="77">
        <v>500</v>
      </c>
      <c r="Y7" s="77">
        <f t="shared" si="1"/>
        <v>-1000</v>
      </c>
      <c r="Z7" s="57"/>
      <c r="AA7" s="58">
        <f t="shared" ref="AA7:AA13" si="3">IF(W7=0,"N/A",PRODUCT(Y7,1/I7))</f>
        <v>-0.66666666666666663</v>
      </c>
      <c r="AB7" s="57"/>
      <c r="AC7" s="77">
        <f t="shared" si="2"/>
        <v>433.31</v>
      </c>
      <c r="AD7" s="57"/>
      <c r="AE7" s="58">
        <f t="shared" ref="AE7:AE13" si="4">IF(W7=0,"N/A",PRODUCT(AC7,1/Q7))</f>
        <v>6.49737591842855</v>
      </c>
      <c r="AF7" s="57"/>
      <c r="AH7" s="57"/>
      <c r="AI7" s="57"/>
      <c r="AJ7" s="57"/>
    </row>
    <row r="8" spans="1:36" x14ac:dyDescent="0.2">
      <c r="A8" s="59" t="s">
        <v>679</v>
      </c>
      <c r="B8" s="60" t="s">
        <v>286</v>
      </c>
      <c r="C8" s="79">
        <v>22425.77</v>
      </c>
      <c r="D8" s="80"/>
      <c r="E8" s="79">
        <v>29465.19</v>
      </c>
      <c r="F8" s="80"/>
      <c r="G8" s="79">
        <v>27895.360000000001</v>
      </c>
      <c r="H8" s="79"/>
      <c r="I8" s="79">
        <v>43600</v>
      </c>
      <c r="J8" s="79"/>
      <c r="K8" s="79">
        <v>43600</v>
      </c>
      <c r="L8" s="79"/>
      <c r="M8" s="79">
        <v>40120.660000000003</v>
      </c>
      <c r="N8" s="79"/>
      <c r="O8" s="79">
        <f>PRODUCT(M8,0/12)</f>
        <v>0</v>
      </c>
      <c r="P8" s="79"/>
      <c r="Q8" s="79">
        <f t="shared" si="0"/>
        <v>40120.660000000003</v>
      </c>
      <c r="R8" s="79"/>
      <c r="S8" s="79">
        <v>45000</v>
      </c>
      <c r="T8" s="79"/>
      <c r="U8" s="79">
        <v>45000</v>
      </c>
      <c r="V8" s="79"/>
      <c r="W8" s="79">
        <v>45000</v>
      </c>
      <c r="X8" s="79"/>
      <c r="Y8" s="79">
        <f t="shared" si="1"/>
        <v>1400</v>
      </c>
      <c r="Z8" s="62"/>
      <c r="AA8" s="63">
        <f t="shared" si="3"/>
        <v>3.2110091743119268E-2</v>
      </c>
      <c r="AB8" s="62"/>
      <c r="AC8" s="79">
        <f t="shared" si="2"/>
        <v>4879.3399999999965</v>
      </c>
      <c r="AD8" s="62"/>
      <c r="AE8" s="63">
        <f t="shared" si="4"/>
        <v>0.12161664339519827</v>
      </c>
      <c r="AF8" s="57"/>
      <c r="AH8" s="57"/>
      <c r="AI8" s="57"/>
      <c r="AJ8" s="57"/>
    </row>
    <row r="9" spans="1:36" x14ac:dyDescent="0.2">
      <c r="A9" s="55" t="s">
        <v>680</v>
      </c>
      <c r="B9" s="56" t="s">
        <v>221</v>
      </c>
      <c r="C9" s="77">
        <v>66644.070000000007</v>
      </c>
      <c r="E9" s="77">
        <v>80101.27</v>
      </c>
      <c r="G9" s="77">
        <v>72423.259999999995</v>
      </c>
      <c r="I9" s="77">
        <v>89000</v>
      </c>
      <c r="K9" s="77">
        <v>89000</v>
      </c>
      <c r="M9" s="77">
        <v>110279.08</v>
      </c>
      <c r="O9" s="77">
        <f>PRODUCT(M9,0/12)</f>
        <v>0</v>
      </c>
      <c r="Q9" s="77">
        <f t="shared" si="0"/>
        <v>110279.08</v>
      </c>
      <c r="S9" s="77">
        <v>120000</v>
      </c>
      <c r="U9" s="77">
        <v>120000</v>
      </c>
      <c r="W9" s="77">
        <v>120000</v>
      </c>
      <c r="Y9" s="77">
        <f t="shared" si="1"/>
        <v>31000</v>
      </c>
      <c r="Z9" s="57"/>
      <c r="AA9" s="58">
        <f t="shared" si="3"/>
        <v>0.34831460674157305</v>
      </c>
      <c r="AB9" s="57"/>
      <c r="AC9" s="77">
        <f t="shared" si="2"/>
        <v>9720.9199999999983</v>
      </c>
      <c r="AD9" s="57"/>
      <c r="AE9" s="58">
        <f t="shared" si="4"/>
        <v>8.8148359598212073E-2</v>
      </c>
      <c r="AF9" s="57"/>
      <c r="AH9" s="57"/>
      <c r="AI9" s="57"/>
      <c r="AJ9" s="57"/>
    </row>
    <row r="10" spans="1:36" x14ac:dyDescent="0.2">
      <c r="A10" s="59" t="s">
        <v>681</v>
      </c>
      <c r="B10" s="60" t="s">
        <v>400</v>
      </c>
      <c r="C10" s="79">
        <v>18515.7</v>
      </c>
      <c r="D10" s="80"/>
      <c r="E10" s="79">
        <v>20298.39</v>
      </c>
      <c r="F10" s="80"/>
      <c r="G10" s="79">
        <v>19849.88</v>
      </c>
      <c r="H10" s="79"/>
      <c r="I10" s="79">
        <v>7000</v>
      </c>
      <c r="J10" s="79"/>
      <c r="K10" s="79">
        <v>7000</v>
      </c>
      <c r="L10" s="79"/>
      <c r="M10" s="79">
        <v>4950.68</v>
      </c>
      <c r="N10" s="79"/>
      <c r="O10" s="79">
        <v>0</v>
      </c>
      <c r="P10" s="79"/>
      <c r="Q10" s="79">
        <f t="shared" si="0"/>
        <v>4950.68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-7000</v>
      </c>
      <c r="Z10" s="62"/>
      <c r="AA10" s="63" t="str">
        <f t="shared" si="3"/>
        <v>N/A</v>
      </c>
      <c r="AB10" s="62"/>
      <c r="AC10" s="79">
        <f t="shared" si="2"/>
        <v>-4950.68</v>
      </c>
      <c r="AD10" s="62"/>
      <c r="AE10" s="63" t="str">
        <f t="shared" si="4"/>
        <v>N/A</v>
      </c>
      <c r="AF10" s="57"/>
      <c r="AH10" s="57"/>
      <c r="AI10" s="57"/>
      <c r="AJ10" s="57"/>
    </row>
    <row r="11" spans="1:36" x14ac:dyDescent="0.2">
      <c r="A11" s="55" t="s">
        <v>682</v>
      </c>
      <c r="B11" s="56" t="s">
        <v>401</v>
      </c>
      <c r="C11" s="77">
        <v>11996.31</v>
      </c>
      <c r="E11" s="77">
        <v>12539.51</v>
      </c>
      <c r="G11" s="77">
        <v>11742.2</v>
      </c>
      <c r="I11" s="77">
        <v>6000</v>
      </c>
      <c r="K11" s="77">
        <v>6000</v>
      </c>
      <c r="M11" s="77">
        <v>3373.6</v>
      </c>
      <c r="O11" s="77">
        <v>0</v>
      </c>
      <c r="Q11" s="77">
        <f t="shared" si="0"/>
        <v>3373.6</v>
      </c>
      <c r="S11" s="77">
        <v>0</v>
      </c>
      <c r="U11" s="77">
        <v>0</v>
      </c>
      <c r="W11" s="77">
        <v>0</v>
      </c>
      <c r="Y11" s="77">
        <f t="shared" si="1"/>
        <v>-6000</v>
      </c>
      <c r="Z11" s="57"/>
      <c r="AA11" s="58" t="str">
        <f t="shared" si="3"/>
        <v>N/A</v>
      </c>
      <c r="AB11" s="57"/>
      <c r="AC11" s="77">
        <f t="shared" si="2"/>
        <v>-3373.6</v>
      </c>
      <c r="AD11" s="57"/>
      <c r="AE11" s="58" t="str">
        <f t="shared" si="4"/>
        <v>N/A</v>
      </c>
      <c r="AF11" s="57"/>
      <c r="AH11" s="57"/>
      <c r="AI11" s="57"/>
      <c r="AJ11" s="57"/>
    </row>
    <row r="12" spans="1:36" x14ac:dyDescent="0.2">
      <c r="A12" s="59" t="s">
        <v>683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36100</v>
      </c>
      <c r="J12" s="79"/>
      <c r="K12" s="79">
        <v>36100</v>
      </c>
      <c r="L12" s="79"/>
      <c r="M12" s="79">
        <v>36580.199999999997</v>
      </c>
      <c r="N12" s="79"/>
      <c r="O12" s="79">
        <f>PRODUCT(M12,0/9)</f>
        <v>0</v>
      </c>
      <c r="P12" s="79"/>
      <c r="Q12" s="79">
        <f t="shared" si="0"/>
        <v>36580.199999999997</v>
      </c>
      <c r="R12" s="79"/>
      <c r="S12" s="79">
        <v>55000</v>
      </c>
      <c r="T12" s="79"/>
      <c r="U12" s="79">
        <v>55000</v>
      </c>
      <c r="V12" s="79"/>
      <c r="W12" s="79">
        <v>55000</v>
      </c>
      <c r="X12" s="79"/>
      <c r="Y12" s="79">
        <f t="shared" si="1"/>
        <v>18900</v>
      </c>
      <c r="Z12" s="62"/>
      <c r="AA12" s="63">
        <f t="shared" si="3"/>
        <v>0.52354570637119113</v>
      </c>
      <c r="AB12" s="62"/>
      <c r="AC12" s="79">
        <f t="shared" si="2"/>
        <v>18419.800000000003</v>
      </c>
      <c r="AD12" s="62"/>
      <c r="AE12" s="63">
        <f t="shared" si="4"/>
        <v>0.50354563397685093</v>
      </c>
      <c r="AF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434266.95</v>
      </c>
      <c r="E13" s="81">
        <f>SUM(E6:E12)</f>
        <v>527485.07000000007</v>
      </c>
      <c r="G13" s="81">
        <f>SUM(G6:G12)</f>
        <v>500491.63</v>
      </c>
      <c r="I13" s="81">
        <f>SUM(I6:I12)</f>
        <v>751400</v>
      </c>
      <c r="K13" s="81">
        <f>SUM(K6:K12)</f>
        <v>742200</v>
      </c>
      <c r="M13" s="81">
        <f>SUM(M6:M12)</f>
        <v>747953.22999999986</v>
      </c>
      <c r="O13" s="81">
        <f>SUM(O6:O12)</f>
        <v>0</v>
      </c>
      <c r="Q13" s="81">
        <f>SUM(Q6:Q12)</f>
        <v>747953.22999999986</v>
      </c>
      <c r="S13" s="81">
        <f>SUM(S6:S12)</f>
        <v>810500</v>
      </c>
      <c r="U13" s="81">
        <f>SUM(U6:U12)</f>
        <v>810500</v>
      </c>
      <c r="W13" s="81">
        <f>SUM(W6:W12)</f>
        <v>810500</v>
      </c>
      <c r="Y13" s="81">
        <f>SUM(Y6:Y12)</f>
        <v>59100</v>
      </c>
      <c r="Z13" s="57"/>
      <c r="AA13" s="65">
        <f t="shared" si="3"/>
        <v>7.86531807293053E-2</v>
      </c>
      <c r="AB13" s="57"/>
      <c r="AC13" s="81">
        <f>SUM(AC6:AC12)</f>
        <v>62546.770000000048</v>
      </c>
      <c r="AD13" s="57"/>
      <c r="AE13" s="65">
        <f t="shared" si="4"/>
        <v>8.3623905200596649E-2</v>
      </c>
      <c r="AF13" s="57"/>
      <c r="AH13" s="57"/>
      <c r="AI13" s="57"/>
      <c r="AJ13" s="57"/>
    </row>
    <row r="14" spans="1:36" x14ac:dyDescent="0.2">
      <c r="Z14" s="57"/>
      <c r="AB14" s="57"/>
      <c r="AD14" s="57"/>
      <c r="AF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H15" s="57"/>
      <c r="AI15" s="57"/>
      <c r="AJ15" s="57"/>
    </row>
    <row r="16" spans="1:36" x14ac:dyDescent="0.2">
      <c r="A16" s="59" t="s">
        <v>684</v>
      </c>
      <c r="B16" s="60" t="s">
        <v>296</v>
      </c>
      <c r="C16" s="79">
        <v>137464</v>
      </c>
      <c r="D16" s="80"/>
      <c r="E16" s="79">
        <v>139582.57</v>
      </c>
      <c r="F16" s="80"/>
      <c r="G16" s="79">
        <v>212870.13</v>
      </c>
      <c r="H16" s="79"/>
      <c r="I16" s="79">
        <v>220000</v>
      </c>
      <c r="J16" s="79"/>
      <c r="K16" s="79">
        <v>220000</v>
      </c>
      <c r="L16" s="79"/>
      <c r="M16" s="79">
        <v>280965.89</v>
      </c>
      <c r="N16" s="79"/>
      <c r="O16" s="79">
        <f t="shared" ref="O16:O24" si="5">PRODUCT(M16,0/12)</f>
        <v>0</v>
      </c>
      <c r="P16" s="79"/>
      <c r="Q16" s="79">
        <f t="shared" ref="Q16:Q24" si="6">SUM(M16,O16)</f>
        <v>280965.89</v>
      </c>
      <c r="R16" s="79"/>
      <c r="S16" s="79">
        <v>230000</v>
      </c>
      <c r="T16" s="79"/>
      <c r="U16" s="79">
        <v>220000</v>
      </c>
      <c r="V16" s="79"/>
      <c r="W16" s="79">
        <v>300000</v>
      </c>
      <c r="X16" s="79"/>
      <c r="Y16" s="79">
        <f t="shared" ref="Y16:Y24" si="7">SUM(W16,-I16)</f>
        <v>80000</v>
      </c>
      <c r="Z16" s="62"/>
      <c r="AA16" s="63">
        <f t="shared" ref="AA16:AA25" si="8">IF(W16=0,"N/A",PRODUCT(Y16,1/I16))</f>
        <v>0.36363636363636365</v>
      </c>
      <c r="AB16" s="62"/>
      <c r="AC16" s="79">
        <f t="shared" ref="AC16:AC24" si="9">SUM(W16,-Q16)</f>
        <v>19034.109999999986</v>
      </c>
      <c r="AD16" s="62"/>
      <c r="AE16" s="63">
        <f t="shared" ref="AE16:AE25" si="10">IF(W16=0,"N/A",PRODUCT(AC16,1/Q16))</f>
        <v>6.7745269719395429E-2</v>
      </c>
      <c r="AF16" s="57"/>
      <c r="AG16" s="56" t="s">
        <v>1434</v>
      </c>
      <c r="AH16" s="57"/>
      <c r="AI16" s="57"/>
      <c r="AJ16" s="57"/>
    </row>
    <row r="17" spans="1:36" x14ac:dyDescent="0.2">
      <c r="A17" s="55" t="s">
        <v>685</v>
      </c>
      <c r="B17" s="56" t="s">
        <v>647</v>
      </c>
      <c r="C17" s="77">
        <v>0</v>
      </c>
      <c r="E17" s="77">
        <v>0</v>
      </c>
      <c r="G17" s="77">
        <v>48571.78</v>
      </c>
      <c r="I17" s="77">
        <v>50000</v>
      </c>
      <c r="K17" s="77">
        <v>50000</v>
      </c>
      <c r="M17" s="77">
        <v>12752.75</v>
      </c>
      <c r="O17" s="77">
        <f t="shared" si="5"/>
        <v>0</v>
      </c>
      <c r="Q17" s="77">
        <f t="shared" si="6"/>
        <v>12752.75</v>
      </c>
      <c r="S17" s="77">
        <v>50000</v>
      </c>
      <c r="U17" s="77">
        <v>50000</v>
      </c>
      <c r="W17" s="77">
        <v>50000</v>
      </c>
      <c r="Y17" s="77">
        <f t="shared" si="7"/>
        <v>0</v>
      </c>
      <c r="Z17" s="57"/>
      <c r="AA17" s="58">
        <f t="shared" si="8"/>
        <v>0</v>
      </c>
      <c r="AB17" s="57"/>
      <c r="AC17" s="77">
        <f t="shared" si="9"/>
        <v>37247.25</v>
      </c>
      <c r="AD17" s="57"/>
      <c r="AE17" s="58">
        <f t="shared" si="10"/>
        <v>2.9207229813177547</v>
      </c>
      <c r="AF17" s="57"/>
      <c r="AG17" s="56" t="s">
        <v>1051</v>
      </c>
      <c r="AH17" s="57"/>
      <c r="AI17" s="57"/>
      <c r="AJ17" s="57"/>
    </row>
    <row r="18" spans="1:36" x14ac:dyDescent="0.2">
      <c r="A18" s="59" t="s">
        <v>686</v>
      </c>
      <c r="B18" s="60" t="s">
        <v>308</v>
      </c>
      <c r="C18" s="79">
        <v>10403.68</v>
      </c>
      <c r="D18" s="80"/>
      <c r="E18" s="79">
        <v>4283.6400000000003</v>
      </c>
      <c r="F18" s="80"/>
      <c r="G18" s="79">
        <v>13879.3</v>
      </c>
      <c r="H18" s="79"/>
      <c r="I18" s="79">
        <v>37300</v>
      </c>
      <c r="J18" s="79"/>
      <c r="K18" s="79">
        <v>43300</v>
      </c>
      <c r="L18" s="79"/>
      <c r="M18" s="79">
        <v>47263.31</v>
      </c>
      <c r="N18" s="79"/>
      <c r="O18" s="79">
        <f t="shared" si="5"/>
        <v>0</v>
      </c>
      <c r="P18" s="79"/>
      <c r="Q18" s="79">
        <f t="shared" si="6"/>
        <v>47263.31</v>
      </c>
      <c r="R18" s="79"/>
      <c r="S18" s="79">
        <v>50000</v>
      </c>
      <c r="T18" s="79"/>
      <c r="U18" s="79">
        <v>70000</v>
      </c>
      <c r="V18" s="79"/>
      <c r="W18" s="79">
        <v>72000</v>
      </c>
      <c r="X18" s="79"/>
      <c r="Y18" s="79">
        <f t="shared" si="7"/>
        <v>34700</v>
      </c>
      <c r="Z18" s="62"/>
      <c r="AA18" s="63">
        <f t="shared" si="8"/>
        <v>0.93029490616621979</v>
      </c>
      <c r="AB18" s="62"/>
      <c r="AC18" s="79">
        <f t="shared" si="9"/>
        <v>24736.690000000002</v>
      </c>
      <c r="AD18" s="62"/>
      <c r="AE18" s="63">
        <f t="shared" si="10"/>
        <v>0.52338039802967673</v>
      </c>
      <c r="AF18" s="57"/>
      <c r="AG18" s="56" t="s">
        <v>1052</v>
      </c>
      <c r="AH18" s="57"/>
      <c r="AI18" s="57"/>
      <c r="AJ18" s="57"/>
    </row>
    <row r="19" spans="1:36" x14ac:dyDescent="0.2">
      <c r="A19" s="55" t="s">
        <v>687</v>
      </c>
      <c r="B19" s="56" t="s">
        <v>318</v>
      </c>
      <c r="C19" s="77">
        <v>4389.78</v>
      </c>
      <c r="E19" s="77">
        <v>8030.26</v>
      </c>
      <c r="G19" s="77">
        <v>15363.33</v>
      </c>
      <c r="I19" s="77">
        <v>8000</v>
      </c>
      <c r="K19" s="77">
        <v>32000</v>
      </c>
      <c r="M19" s="77">
        <v>28551.34</v>
      </c>
      <c r="O19" s="77">
        <f t="shared" si="5"/>
        <v>0</v>
      </c>
      <c r="Q19" s="77">
        <f t="shared" si="6"/>
        <v>28551.34</v>
      </c>
      <c r="S19" s="77">
        <v>8000</v>
      </c>
      <c r="U19" s="77">
        <v>8000</v>
      </c>
      <c r="W19" s="77">
        <v>8000</v>
      </c>
      <c r="Y19" s="77">
        <f t="shared" si="7"/>
        <v>0</v>
      </c>
      <c r="Z19" s="57"/>
      <c r="AA19" s="58">
        <f t="shared" si="8"/>
        <v>0</v>
      </c>
      <c r="AB19" s="57"/>
      <c r="AC19" s="77">
        <f t="shared" si="9"/>
        <v>-20551.34</v>
      </c>
      <c r="AD19" s="57"/>
      <c r="AE19" s="58">
        <f t="shared" si="10"/>
        <v>-0.7198029934847191</v>
      </c>
      <c r="AF19" s="57"/>
      <c r="AH19" s="57"/>
      <c r="AI19" s="57"/>
      <c r="AJ19" s="57"/>
    </row>
    <row r="20" spans="1:36" x14ac:dyDescent="0.2">
      <c r="A20" s="59" t="s">
        <v>688</v>
      </c>
      <c r="B20" s="60" t="s">
        <v>633</v>
      </c>
      <c r="C20" s="79">
        <v>0</v>
      </c>
      <c r="D20" s="80"/>
      <c r="E20" s="79">
        <v>3807.54</v>
      </c>
      <c r="F20" s="80"/>
      <c r="G20" s="79">
        <v>2509.09</v>
      </c>
      <c r="H20" s="79"/>
      <c r="I20" s="79">
        <v>12000</v>
      </c>
      <c r="J20" s="79"/>
      <c r="K20" s="79">
        <v>12000</v>
      </c>
      <c r="L20" s="79"/>
      <c r="M20" s="79">
        <v>4508.71</v>
      </c>
      <c r="N20" s="79"/>
      <c r="O20" s="79">
        <f t="shared" si="5"/>
        <v>0</v>
      </c>
      <c r="P20" s="79"/>
      <c r="Q20" s="79">
        <f t="shared" si="6"/>
        <v>4508.71</v>
      </c>
      <c r="R20" s="79"/>
      <c r="S20" s="79">
        <v>5500</v>
      </c>
      <c r="T20" s="79"/>
      <c r="U20" s="79">
        <v>12000</v>
      </c>
      <c r="V20" s="79"/>
      <c r="W20" s="79">
        <v>13000</v>
      </c>
      <c r="X20" s="79"/>
      <c r="Y20" s="79">
        <f t="shared" si="7"/>
        <v>1000</v>
      </c>
      <c r="Z20" s="62"/>
      <c r="AA20" s="63">
        <f t="shared" si="8"/>
        <v>8.3333333333333329E-2</v>
      </c>
      <c r="AB20" s="62"/>
      <c r="AC20" s="79">
        <f t="shared" si="9"/>
        <v>8491.2900000000009</v>
      </c>
      <c r="AD20" s="62"/>
      <c r="AE20" s="63">
        <f t="shared" si="10"/>
        <v>1.8833080859048377</v>
      </c>
      <c r="AF20" s="57"/>
      <c r="AH20" s="57"/>
      <c r="AI20" s="57"/>
      <c r="AJ20" s="57"/>
    </row>
    <row r="21" spans="1:36" x14ac:dyDescent="0.2">
      <c r="A21" s="55" t="s">
        <v>689</v>
      </c>
      <c r="B21" s="56" t="s">
        <v>493</v>
      </c>
      <c r="C21" s="77">
        <v>0</v>
      </c>
      <c r="E21" s="77">
        <v>15026.25</v>
      </c>
      <c r="G21" s="77">
        <v>50442.5</v>
      </c>
      <c r="I21" s="77">
        <v>25000</v>
      </c>
      <c r="K21" s="77">
        <v>25000</v>
      </c>
      <c r="M21" s="77">
        <v>22435</v>
      </c>
      <c r="O21" s="77">
        <f t="shared" si="5"/>
        <v>0</v>
      </c>
      <c r="Q21" s="77">
        <f t="shared" si="6"/>
        <v>22435</v>
      </c>
      <c r="S21" s="77">
        <v>25000</v>
      </c>
      <c r="U21" s="77">
        <v>25000</v>
      </c>
      <c r="W21" s="77">
        <v>25000</v>
      </c>
      <c r="Y21" s="77">
        <f t="shared" si="7"/>
        <v>0</v>
      </c>
      <c r="Z21" s="57"/>
      <c r="AA21" s="58">
        <f t="shared" si="8"/>
        <v>0</v>
      </c>
      <c r="AB21" s="57"/>
      <c r="AC21" s="77">
        <f t="shared" si="9"/>
        <v>2565</v>
      </c>
      <c r="AD21" s="57"/>
      <c r="AE21" s="58">
        <f t="shared" si="10"/>
        <v>0.11433028749721418</v>
      </c>
      <c r="AF21" s="57"/>
      <c r="AH21" s="57"/>
      <c r="AI21" s="57"/>
      <c r="AJ21" s="57"/>
    </row>
    <row r="22" spans="1:36" x14ac:dyDescent="0.2">
      <c r="A22" s="59" t="s">
        <v>690</v>
      </c>
      <c r="B22" s="60" t="s">
        <v>325</v>
      </c>
      <c r="C22" s="79">
        <v>2140.35</v>
      </c>
      <c r="D22" s="80"/>
      <c r="E22" s="79">
        <v>7367.51</v>
      </c>
      <c r="F22" s="80"/>
      <c r="G22" s="79">
        <v>6638.48</v>
      </c>
      <c r="H22" s="79"/>
      <c r="I22" s="79">
        <v>6000</v>
      </c>
      <c r="J22" s="79"/>
      <c r="K22" s="79">
        <v>6000</v>
      </c>
      <c r="L22" s="79"/>
      <c r="M22" s="79">
        <v>6019.69</v>
      </c>
      <c r="N22" s="79"/>
      <c r="O22" s="79">
        <f t="shared" si="5"/>
        <v>0</v>
      </c>
      <c r="P22" s="79"/>
      <c r="Q22" s="79">
        <f t="shared" si="6"/>
        <v>6019.69</v>
      </c>
      <c r="R22" s="79"/>
      <c r="S22" s="79">
        <v>7000</v>
      </c>
      <c r="T22" s="79"/>
      <c r="U22" s="79">
        <v>4000</v>
      </c>
      <c r="V22" s="79"/>
      <c r="W22" s="79">
        <v>6000</v>
      </c>
      <c r="X22" s="79"/>
      <c r="Y22" s="79">
        <f t="shared" si="7"/>
        <v>0</v>
      </c>
      <c r="Z22" s="62"/>
      <c r="AA22" s="63">
        <f t="shared" si="8"/>
        <v>0</v>
      </c>
      <c r="AB22" s="62"/>
      <c r="AC22" s="79">
        <f t="shared" si="9"/>
        <v>-19.6899999999996</v>
      </c>
      <c r="AD22" s="62"/>
      <c r="AE22" s="63">
        <f t="shared" si="10"/>
        <v>-3.2709325563275854E-3</v>
      </c>
      <c r="AF22" s="57"/>
      <c r="AG22" s="56" t="s">
        <v>1435</v>
      </c>
      <c r="AH22" s="57"/>
      <c r="AI22" s="57"/>
      <c r="AJ22" s="57"/>
    </row>
    <row r="23" spans="1:36" x14ac:dyDescent="0.2">
      <c r="A23" s="55" t="s">
        <v>691</v>
      </c>
      <c r="B23" s="56" t="s">
        <v>327</v>
      </c>
      <c r="C23" s="77">
        <v>5808.68</v>
      </c>
      <c r="E23" s="77">
        <v>5081.45</v>
      </c>
      <c r="G23" s="77">
        <v>8692.75</v>
      </c>
      <c r="I23" s="77">
        <v>9000</v>
      </c>
      <c r="K23" s="77">
        <v>9000</v>
      </c>
      <c r="M23" s="77">
        <v>5941.05</v>
      </c>
      <c r="O23" s="77">
        <f t="shared" si="5"/>
        <v>0</v>
      </c>
      <c r="Q23" s="77">
        <f t="shared" si="6"/>
        <v>5941.05</v>
      </c>
      <c r="S23" s="77">
        <v>8000</v>
      </c>
      <c r="U23" s="77">
        <v>8000</v>
      </c>
      <c r="W23" s="77">
        <v>8000</v>
      </c>
      <c r="Y23" s="77">
        <f t="shared" si="7"/>
        <v>-1000</v>
      </c>
      <c r="Z23" s="57"/>
      <c r="AA23" s="58">
        <f t="shared" si="8"/>
        <v>-0.11111111111111112</v>
      </c>
      <c r="AB23" s="57"/>
      <c r="AC23" s="77">
        <f t="shared" si="9"/>
        <v>2058.9499999999998</v>
      </c>
      <c r="AD23" s="57"/>
      <c r="AE23" s="58">
        <f t="shared" si="10"/>
        <v>0.34656331793201534</v>
      </c>
      <c r="AF23" s="57"/>
      <c r="AG23" s="56" t="s">
        <v>1053</v>
      </c>
      <c r="AH23" s="57"/>
      <c r="AI23" s="57"/>
      <c r="AJ23" s="57"/>
    </row>
    <row r="24" spans="1:36" x14ac:dyDescent="0.2">
      <c r="A24" s="59" t="s">
        <v>692</v>
      </c>
      <c r="B24" s="60" t="s">
        <v>328</v>
      </c>
      <c r="C24" s="79">
        <v>1120.94</v>
      </c>
      <c r="D24" s="80"/>
      <c r="E24" s="79">
        <v>1623.81</v>
      </c>
      <c r="F24" s="80"/>
      <c r="G24" s="79">
        <v>3148.83</v>
      </c>
      <c r="H24" s="79"/>
      <c r="I24" s="79">
        <v>4000</v>
      </c>
      <c r="J24" s="79"/>
      <c r="K24" s="79">
        <v>4000</v>
      </c>
      <c r="L24" s="79"/>
      <c r="M24" s="79">
        <v>3194.02</v>
      </c>
      <c r="N24" s="79"/>
      <c r="O24" s="79">
        <f t="shared" si="5"/>
        <v>0</v>
      </c>
      <c r="P24" s="79"/>
      <c r="Q24" s="79">
        <f t="shared" si="6"/>
        <v>3194.02</v>
      </c>
      <c r="R24" s="79"/>
      <c r="S24" s="79">
        <v>4000</v>
      </c>
      <c r="T24" s="79"/>
      <c r="U24" s="79">
        <v>4000</v>
      </c>
      <c r="V24" s="79"/>
      <c r="W24" s="79">
        <v>5000</v>
      </c>
      <c r="X24" s="79"/>
      <c r="Y24" s="79">
        <f t="shared" si="7"/>
        <v>1000</v>
      </c>
      <c r="Z24" s="62"/>
      <c r="AA24" s="63">
        <f t="shared" si="8"/>
        <v>0.25</v>
      </c>
      <c r="AB24" s="62"/>
      <c r="AC24" s="79">
        <f t="shared" si="9"/>
        <v>1805.98</v>
      </c>
      <c r="AD24" s="62"/>
      <c r="AE24" s="63">
        <f t="shared" si="10"/>
        <v>0.56542538869512404</v>
      </c>
      <c r="AF24" s="57"/>
      <c r="AH24" s="57"/>
      <c r="AI24" s="57"/>
      <c r="AJ24" s="57"/>
    </row>
    <row r="25" spans="1:36" x14ac:dyDescent="0.2">
      <c r="A25" s="64" t="s">
        <v>49</v>
      </c>
      <c r="C25" s="81">
        <f>SUM(C16:C24)</f>
        <v>161327.43</v>
      </c>
      <c r="E25" s="81">
        <f>SUM(E16:E24)</f>
        <v>184803.03000000006</v>
      </c>
      <c r="G25" s="81">
        <f>SUM(G16:G24)</f>
        <v>362116.19000000006</v>
      </c>
      <c r="I25" s="81">
        <f>SUM(I16:I24)</f>
        <v>371300</v>
      </c>
      <c r="K25" s="81">
        <f>SUM(K16:K24)</f>
        <v>401300</v>
      </c>
      <c r="M25" s="81">
        <f>SUM(M16:M24)</f>
        <v>411631.76000000007</v>
      </c>
      <c r="O25" s="81">
        <f>SUM(O16:O24)</f>
        <v>0</v>
      </c>
      <c r="Q25" s="81">
        <f>SUM(Q16:Q24)</f>
        <v>411631.76000000007</v>
      </c>
      <c r="S25" s="81">
        <f>SUM(S16:S24)</f>
        <v>387500</v>
      </c>
      <c r="U25" s="81">
        <f>SUM(U16:U24)</f>
        <v>401000</v>
      </c>
      <c r="W25" s="81">
        <f>SUM(W16:W24)</f>
        <v>487000</v>
      </c>
      <c r="Y25" s="81">
        <f>SUM(Y16:Y24)</f>
        <v>115700</v>
      </c>
      <c r="Z25" s="57"/>
      <c r="AA25" s="65">
        <f t="shared" si="8"/>
        <v>0.31160786426070564</v>
      </c>
      <c r="AB25" s="57"/>
      <c r="AC25" s="81">
        <f>SUM(AC16:AC24)</f>
        <v>75368.239999999991</v>
      </c>
      <c r="AD25" s="57"/>
      <c r="AE25" s="65">
        <f t="shared" si="10"/>
        <v>0.18309627031694536</v>
      </c>
      <c r="AF25" s="57"/>
      <c r="AH25" s="57"/>
      <c r="AI25" s="57"/>
      <c r="AJ25" s="57"/>
    </row>
    <row r="26" spans="1:36" x14ac:dyDescent="0.2">
      <c r="Z26" s="57"/>
      <c r="AB26" s="57"/>
      <c r="AD26" s="57"/>
      <c r="AF26" s="57"/>
      <c r="AH26" s="57"/>
      <c r="AI26" s="57"/>
      <c r="AJ26" s="57"/>
    </row>
    <row r="27" spans="1:36" x14ac:dyDescent="0.2">
      <c r="A27" s="54" t="s">
        <v>65</v>
      </c>
      <c r="Z27" s="57"/>
      <c r="AB27" s="57"/>
      <c r="AD27" s="57"/>
      <c r="AF27" s="57"/>
      <c r="AH27" s="57"/>
      <c r="AI27" s="57"/>
      <c r="AJ27" s="57"/>
    </row>
    <row r="28" spans="1:36" x14ac:dyDescent="0.2">
      <c r="A28" s="59" t="s">
        <v>693</v>
      </c>
      <c r="B28" s="60" t="s">
        <v>445</v>
      </c>
      <c r="C28" s="79">
        <v>639.89</v>
      </c>
      <c r="D28" s="80"/>
      <c r="E28" s="79">
        <v>3027.3</v>
      </c>
      <c r="F28" s="80"/>
      <c r="G28" s="79">
        <v>1061.69</v>
      </c>
      <c r="H28" s="79"/>
      <c r="I28" s="79">
        <v>2000</v>
      </c>
      <c r="J28" s="79"/>
      <c r="K28" s="79">
        <v>2000</v>
      </c>
      <c r="L28" s="79"/>
      <c r="M28" s="79">
        <v>1764.22</v>
      </c>
      <c r="N28" s="79"/>
      <c r="O28" s="79">
        <f>PRODUCT(M28,0/12)</f>
        <v>0</v>
      </c>
      <c r="P28" s="79"/>
      <c r="Q28" s="79">
        <f>SUM(M28,O28)</f>
        <v>1764.22</v>
      </c>
      <c r="R28" s="79"/>
      <c r="S28" s="79">
        <v>2000</v>
      </c>
      <c r="T28" s="79"/>
      <c r="U28" s="79">
        <v>2000</v>
      </c>
      <c r="V28" s="79"/>
      <c r="W28" s="79">
        <v>3000</v>
      </c>
      <c r="X28" s="79"/>
      <c r="Y28" s="79">
        <f>SUM(W28,-I28)</f>
        <v>1000</v>
      </c>
      <c r="Z28" s="62"/>
      <c r="AA28" s="63">
        <f>IF(W28=0,"N/A",PRODUCT(Y28,1/I28))</f>
        <v>0.5</v>
      </c>
      <c r="AB28" s="62"/>
      <c r="AC28" s="79">
        <f>SUM(W28,-Q28)</f>
        <v>1235.78</v>
      </c>
      <c r="AD28" s="62"/>
      <c r="AE28" s="63">
        <f>IF(W28=0,"N/A",PRODUCT(AC28,1/Q28))</f>
        <v>0.7004681955765153</v>
      </c>
      <c r="AF28" s="57"/>
      <c r="AG28" s="56" t="s">
        <v>1436</v>
      </c>
      <c r="AH28" s="57"/>
      <c r="AI28" s="57"/>
      <c r="AJ28" s="57"/>
    </row>
    <row r="29" spans="1:36" x14ac:dyDescent="0.2">
      <c r="A29" s="64" t="s">
        <v>66</v>
      </c>
      <c r="C29" s="81">
        <f>SUM(C28:C28)</f>
        <v>639.89</v>
      </c>
      <c r="E29" s="81">
        <f>SUM(E28:E28)</f>
        <v>3027.3</v>
      </c>
      <c r="G29" s="81">
        <f>SUM(G28:G28)</f>
        <v>1061.69</v>
      </c>
      <c r="I29" s="81">
        <f>SUM(I28:I28)</f>
        <v>2000</v>
      </c>
      <c r="K29" s="81">
        <f>SUM(K28:K28)</f>
        <v>2000</v>
      </c>
      <c r="M29" s="81">
        <f>SUM(M28:M28)</f>
        <v>1764.22</v>
      </c>
      <c r="O29" s="81">
        <f>SUM(O28:O28)</f>
        <v>0</v>
      </c>
      <c r="Q29" s="81">
        <f>SUM(Q28:Q28)</f>
        <v>1764.22</v>
      </c>
      <c r="S29" s="81">
        <f>SUM(S28:S28)</f>
        <v>2000</v>
      </c>
      <c r="U29" s="81">
        <f>SUM(U28:U28)</f>
        <v>2000</v>
      </c>
      <c r="W29" s="81">
        <f>SUM(W28:W28)</f>
        <v>3000</v>
      </c>
      <c r="Y29" s="81">
        <f>SUM(Y28:Y28)</f>
        <v>1000</v>
      </c>
      <c r="Z29" s="57"/>
      <c r="AA29" s="65">
        <f>IF(W29=0,"N/A",PRODUCT(Y29,1/I29))</f>
        <v>0.5</v>
      </c>
      <c r="AB29" s="57"/>
      <c r="AC29" s="81">
        <f>SUM(AC28:AC28)</f>
        <v>1235.78</v>
      </c>
      <c r="AD29" s="57"/>
      <c r="AE29" s="65">
        <f>IF(W29=0,"N/A",PRODUCT(AC29,1/Q29))</f>
        <v>0.7004681955765153</v>
      </c>
      <c r="AF29" s="57"/>
      <c r="AH29" s="57"/>
      <c r="AI29" s="57"/>
      <c r="AJ29" s="57"/>
    </row>
    <row r="30" spans="1:36" x14ac:dyDescent="0.2">
      <c r="Z30" s="57"/>
      <c r="AB30" s="57"/>
      <c r="AD30" s="57"/>
      <c r="AF30" s="57"/>
      <c r="AH30" s="57"/>
      <c r="AI30" s="57"/>
      <c r="AJ30" s="57"/>
    </row>
    <row r="31" spans="1:36" x14ac:dyDescent="0.2">
      <c r="A31" s="54" t="s">
        <v>69</v>
      </c>
      <c r="Z31" s="57"/>
      <c r="AB31" s="57"/>
      <c r="AD31" s="57"/>
      <c r="AF31" s="57"/>
      <c r="AH31" s="57"/>
      <c r="AI31" s="57"/>
      <c r="AJ31" s="57"/>
    </row>
    <row r="32" spans="1:36" x14ac:dyDescent="0.2">
      <c r="A32" s="59" t="s">
        <v>694</v>
      </c>
      <c r="B32" s="60" t="s">
        <v>345</v>
      </c>
      <c r="C32" s="79">
        <v>999.23</v>
      </c>
      <c r="D32" s="80"/>
      <c r="E32" s="79">
        <v>3131.99</v>
      </c>
      <c r="F32" s="80"/>
      <c r="G32" s="79">
        <v>4603.96</v>
      </c>
      <c r="H32" s="79"/>
      <c r="I32" s="79">
        <v>6250</v>
      </c>
      <c r="J32" s="79"/>
      <c r="K32" s="79">
        <v>6250</v>
      </c>
      <c r="L32" s="79"/>
      <c r="M32" s="79">
        <v>8752.9699999999993</v>
      </c>
      <c r="N32" s="79"/>
      <c r="O32" s="79">
        <f t="shared" ref="O32:O38" si="11">PRODUCT(M32,0/12)</f>
        <v>0</v>
      </c>
      <c r="P32" s="79"/>
      <c r="Q32" s="79">
        <f t="shared" ref="Q32:Q38" si="12">SUM(M32,O32)</f>
        <v>8752.9699999999993</v>
      </c>
      <c r="R32" s="79"/>
      <c r="S32" s="79">
        <v>6500</v>
      </c>
      <c r="T32" s="79"/>
      <c r="U32" s="79">
        <v>6500</v>
      </c>
      <c r="V32" s="79"/>
      <c r="W32" s="79">
        <v>6500</v>
      </c>
      <c r="X32" s="79"/>
      <c r="Y32" s="79">
        <f t="shared" ref="Y32:Y38" si="13">SUM(W32,-I32)</f>
        <v>250</v>
      </c>
      <c r="Z32" s="62"/>
      <c r="AA32" s="63">
        <f t="shared" ref="AA32:AA39" si="14">IF(W32=0,"N/A",PRODUCT(Y32,1/I32))</f>
        <v>0.04</v>
      </c>
      <c r="AB32" s="62"/>
      <c r="AC32" s="79">
        <f t="shared" ref="AC32:AC38" si="15">SUM(W32,-Q32)</f>
        <v>-2252.9699999999993</v>
      </c>
      <c r="AD32" s="62"/>
      <c r="AE32" s="63">
        <f t="shared" ref="AE32:AE39" si="16">IF(W32=0,"N/A",PRODUCT(AC32,1/Q32))</f>
        <v>-0.25739491852479784</v>
      </c>
      <c r="AF32" s="57"/>
      <c r="AH32" s="57"/>
      <c r="AI32" s="57"/>
      <c r="AJ32" s="57"/>
    </row>
    <row r="33" spans="1:36" x14ac:dyDescent="0.2">
      <c r="A33" s="55" t="s">
        <v>695</v>
      </c>
      <c r="B33" s="56" t="s">
        <v>347</v>
      </c>
      <c r="C33" s="77">
        <v>362.26</v>
      </c>
      <c r="E33" s="77">
        <v>539.73</v>
      </c>
      <c r="G33" s="77">
        <v>1100.19</v>
      </c>
      <c r="I33" s="77">
        <v>3500</v>
      </c>
      <c r="K33" s="77">
        <v>3500</v>
      </c>
      <c r="M33" s="77">
        <v>2061.44</v>
      </c>
      <c r="O33" s="77">
        <f t="shared" si="11"/>
        <v>0</v>
      </c>
      <c r="Q33" s="77">
        <f t="shared" si="12"/>
        <v>2061.44</v>
      </c>
      <c r="S33" s="77">
        <v>2500</v>
      </c>
      <c r="U33" s="77">
        <v>3500</v>
      </c>
      <c r="W33" s="77">
        <v>3500</v>
      </c>
      <c r="Y33" s="77">
        <f t="shared" si="13"/>
        <v>0</v>
      </c>
      <c r="Z33" s="57"/>
      <c r="AA33" s="58">
        <f t="shared" si="14"/>
        <v>0</v>
      </c>
      <c r="AB33" s="57"/>
      <c r="AC33" s="77">
        <f t="shared" si="15"/>
        <v>1438.56</v>
      </c>
      <c r="AD33" s="57"/>
      <c r="AE33" s="58">
        <f t="shared" si="16"/>
        <v>0.69784228500465695</v>
      </c>
      <c r="AF33" s="57"/>
      <c r="AG33" s="56" t="s">
        <v>1055</v>
      </c>
      <c r="AH33" s="57"/>
      <c r="AI33" s="57"/>
      <c r="AJ33" s="57"/>
    </row>
    <row r="34" spans="1:36" x14ac:dyDescent="0.2">
      <c r="A34" s="59" t="s">
        <v>696</v>
      </c>
      <c r="B34" s="60" t="s">
        <v>648</v>
      </c>
      <c r="C34" s="79">
        <v>2356.4899999999998</v>
      </c>
      <c r="D34" s="80"/>
      <c r="E34" s="79">
        <v>1524.75</v>
      </c>
      <c r="F34" s="80"/>
      <c r="G34" s="79">
        <v>1500.25</v>
      </c>
      <c r="H34" s="79"/>
      <c r="I34" s="79">
        <v>2000</v>
      </c>
      <c r="J34" s="79"/>
      <c r="K34" s="79">
        <v>5200</v>
      </c>
      <c r="L34" s="79"/>
      <c r="M34" s="79">
        <v>3604.81</v>
      </c>
      <c r="N34" s="79"/>
      <c r="O34" s="79">
        <f t="shared" si="11"/>
        <v>0</v>
      </c>
      <c r="P34" s="79"/>
      <c r="Q34" s="79">
        <f t="shared" si="12"/>
        <v>3604.81</v>
      </c>
      <c r="R34" s="79"/>
      <c r="S34" s="79">
        <v>1500</v>
      </c>
      <c r="T34" s="79"/>
      <c r="U34" s="79">
        <v>2000</v>
      </c>
      <c r="V34" s="79"/>
      <c r="W34" s="79">
        <v>2000</v>
      </c>
      <c r="X34" s="79"/>
      <c r="Y34" s="79">
        <f t="shared" si="13"/>
        <v>0</v>
      </c>
      <c r="Z34" s="62"/>
      <c r="AA34" s="63">
        <f t="shared" si="14"/>
        <v>0</v>
      </c>
      <c r="AB34" s="62"/>
      <c r="AC34" s="79">
        <f t="shared" si="15"/>
        <v>-1604.81</v>
      </c>
      <c r="AD34" s="62"/>
      <c r="AE34" s="63">
        <f t="shared" si="16"/>
        <v>-0.44518573794457955</v>
      </c>
      <c r="AF34" s="57"/>
      <c r="AG34" s="56" t="s">
        <v>1054</v>
      </c>
      <c r="AH34" s="57"/>
      <c r="AI34" s="57"/>
      <c r="AJ34" s="57"/>
    </row>
    <row r="35" spans="1:36" x14ac:dyDescent="0.2">
      <c r="A35" s="55" t="s">
        <v>697</v>
      </c>
      <c r="B35" s="56" t="s">
        <v>351</v>
      </c>
      <c r="C35" s="77">
        <v>2564.66</v>
      </c>
      <c r="E35" s="77">
        <v>1246.6400000000001</v>
      </c>
      <c r="G35" s="77">
        <v>1353.85</v>
      </c>
      <c r="I35" s="77">
        <v>2000</v>
      </c>
      <c r="K35" s="77">
        <v>2000</v>
      </c>
      <c r="M35" s="77">
        <v>1815.26</v>
      </c>
      <c r="O35" s="77">
        <f t="shared" si="11"/>
        <v>0</v>
      </c>
      <c r="Q35" s="77">
        <f t="shared" si="12"/>
        <v>1815.26</v>
      </c>
      <c r="S35" s="77">
        <v>2000</v>
      </c>
      <c r="U35" s="77">
        <v>3000</v>
      </c>
      <c r="W35" s="77">
        <v>3000</v>
      </c>
      <c r="Y35" s="77">
        <f t="shared" si="13"/>
        <v>1000</v>
      </c>
      <c r="Z35" s="57"/>
      <c r="AA35" s="58">
        <f t="shared" si="14"/>
        <v>0.5</v>
      </c>
      <c r="AB35" s="57"/>
      <c r="AC35" s="77">
        <f t="shared" si="15"/>
        <v>1184.74</v>
      </c>
      <c r="AD35" s="57"/>
      <c r="AE35" s="58">
        <f t="shared" si="16"/>
        <v>0.65265581789936433</v>
      </c>
      <c r="AF35" s="57"/>
      <c r="AG35" s="56" t="s">
        <v>1058</v>
      </c>
      <c r="AH35" s="57"/>
      <c r="AI35" s="57"/>
      <c r="AJ35" s="57"/>
    </row>
    <row r="36" spans="1:36" x14ac:dyDescent="0.2">
      <c r="A36" s="59" t="s">
        <v>1056</v>
      </c>
      <c r="B36" s="60" t="s">
        <v>985</v>
      </c>
      <c r="C36" s="79">
        <v>0</v>
      </c>
      <c r="D36" s="80"/>
      <c r="E36" s="79">
        <v>0</v>
      </c>
      <c r="F36" s="80"/>
      <c r="G36" s="79">
        <v>0</v>
      </c>
      <c r="H36" s="79"/>
      <c r="I36" s="79">
        <v>0</v>
      </c>
      <c r="J36" s="79"/>
      <c r="K36" s="79">
        <v>0</v>
      </c>
      <c r="L36" s="79"/>
      <c r="M36" s="79">
        <v>0</v>
      </c>
      <c r="N36" s="79"/>
      <c r="O36" s="79">
        <f t="shared" si="11"/>
        <v>0</v>
      </c>
      <c r="P36" s="79"/>
      <c r="Q36" s="79">
        <f t="shared" si="12"/>
        <v>0</v>
      </c>
      <c r="R36" s="79"/>
      <c r="S36" s="79">
        <v>0</v>
      </c>
      <c r="T36" s="79"/>
      <c r="U36" s="79">
        <v>4000</v>
      </c>
      <c r="V36" s="79"/>
      <c r="W36" s="79">
        <v>4000</v>
      </c>
      <c r="X36" s="79"/>
      <c r="Y36" s="79">
        <f t="shared" si="13"/>
        <v>4000</v>
      </c>
      <c r="Z36" s="62"/>
      <c r="AA36" s="63" t="e">
        <f t="shared" si="14"/>
        <v>#DIV/0!</v>
      </c>
      <c r="AB36" s="62"/>
      <c r="AC36" s="79">
        <f t="shared" si="15"/>
        <v>4000</v>
      </c>
      <c r="AD36" s="62"/>
      <c r="AE36" s="63" t="e">
        <f t="shared" si="16"/>
        <v>#DIV/0!</v>
      </c>
      <c r="AF36" s="57"/>
      <c r="AG36" s="56" t="s">
        <v>1057</v>
      </c>
      <c r="AH36" s="57"/>
      <c r="AI36" s="57"/>
      <c r="AJ36" s="57"/>
    </row>
    <row r="37" spans="1:36" x14ac:dyDescent="0.2">
      <c r="A37" s="55" t="s">
        <v>698</v>
      </c>
      <c r="B37" s="56" t="s">
        <v>649</v>
      </c>
      <c r="C37" s="77">
        <v>31888.5</v>
      </c>
      <c r="E37" s="77">
        <v>26077.5</v>
      </c>
      <c r="G37" s="77">
        <v>48405.5</v>
      </c>
      <c r="I37" s="77">
        <v>35000</v>
      </c>
      <c r="K37" s="77">
        <v>35000</v>
      </c>
      <c r="M37" s="77">
        <v>25066.01</v>
      </c>
      <c r="O37" s="77">
        <f t="shared" si="11"/>
        <v>0</v>
      </c>
      <c r="Q37" s="77">
        <f t="shared" si="12"/>
        <v>25066.01</v>
      </c>
      <c r="S37" s="77">
        <v>35000</v>
      </c>
      <c r="U37" s="77">
        <v>25000</v>
      </c>
      <c r="W37" s="77">
        <v>25000</v>
      </c>
      <c r="Y37" s="77">
        <f t="shared" si="13"/>
        <v>-10000</v>
      </c>
      <c r="Z37" s="57"/>
      <c r="AA37" s="58">
        <f t="shared" si="14"/>
        <v>-0.2857142857142857</v>
      </c>
      <c r="AB37" s="57"/>
      <c r="AC37" s="77">
        <f t="shared" si="15"/>
        <v>-66.009999999998399</v>
      </c>
      <c r="AD37" s="57"/>
      <c r="AE37" s="58">
        <f t="shared" si="16"/>
        <v>-2.6334466474719513E-3</v>
      </c>
      <c r="AF37" s="57"/>
      <c r="AH37" s="57"/>
      <c r="AI37" s="57"/>
      <c r="AJ37" s="57"/>
    </row>
    <row r="38" spans="1:36" x14ac:dyDescent="0.2">
      <c r="A38" s="59" t="s">
        <v>699</v>
      </c>
      <c r="B38" s="60" t="s">
        <v>217</v>
      </c>
      <c r="C38" s="79">
        <v>1125.26</v>
      </c>
      <c r="D38" s="80"/>
      <c r="E38" s="79">
        <v>2838.49</v>
      </c>
      <c r="F38" s="80"/>
      <c r="G38" s="79">
        <v>842.06</v>
      </c>
      <c r="H38" s="79"/>
      <c r="I38" s="79">
        <v>4000</v>
      </c>
      <c r="J38" s="79"/>
      <c r="K38" s="79">
        <v>4000</v>
      </c>
      <c r="L38" s="79"/>
      <c r="M38" s="79">
        <v>2922.04</v>
      </c>
      <c r="N38" s="79"/>
      <c r="O38" s="79">
        <f t="shared" si="11"/>
        <v>0</v>
      </c>
      <c r="P38" s="79"/>
      <c r="Q38" s="79">
        <f t="shared" si="12"/>
        <v>2922.04</v>
      </c>
      <c r="R38" s="79"/>
      <c r="S38" s="79">
        <v>3500</v>
      </c>
      <c r="T38" s="79"/>
      <c r="U38" s="79">
        <v>3500</v>
      </c>
      <c r="V38" s="79"/>
      <c r="W38" s="79">
        <v>4000</v>
      </c>
      <c r="X38" s="79"/>
      <c r="Y38" s="79">
        <f t="shared" si="13"/>
        <v>0</v>
      </c>
      <c r="Z38" s="62"/>
      <c r="AA38" s="63">
        <f t="shared" si="14"/>
        <v>0</v>
      </c>
      <c r="AB38" s="62"/>
      <c r="AC38" s="79">
        <f t="shared" si="15"/>
        <v>1077.96</v>
      </c>
      <c r="AD38" s="62"/>
      <c r="AE38" s="63">
        <f t="shared" si="16"/>
        <v>0.36890665425524638</v>
      </c>
      <c r="AF38" s="57"/>
      <c r="AH38" s="57"/>
      <c r="AI38" s="57"/>
      <c r="AJ38" s="57"/>
    </row>
    <row r="39" spans="1:36" x14ac:dyDescent="0.2">
      <c r="A39" s="64" t="s">
        <v>70</v>
      </c>
      <c r="C39" s="81">
        <f>SUM(C32:C38)</f>
        <v>39296.400000000001</v>
      </c>
      <c r="E39" s="81">
        <f>SUM(E32:E38)</f>
        <v>35359.1</v>
      </c>
      <c r="G39" s="81">
        <f>SUM(G32:G38)</f>
        <v>57805.81</v>
      </c>
      <c r="I39" s="81">
        <f>SUM(I32:I38)</f>
        <v>52750</v>
      </c>
      <c r="K39" s="81">
        <f>SUM(K32:K38)</f>
        <v>55950</v>
      </c>
      <c r="M39" s="81">
        <f>SUM(M32:M38)</f>
        <v>44222.53</v>
      </c>
      <c r="O39" s="81">
        <f>SUM(O32:O38)</f>
        <v>0</v>
      </c>
      <c r="Q39" s="81">
        <f>SUM(Q32:Q38)</f>
        <v>44222.53</v>
      </c>
      <c r="S39" s="81">
        <f>SUM(S32:S38)</f>
        <v>51000</v>
      </c>
      <c r="U39" s="81">
        <f>SUM(U32:U38)</f>
        <v>47500</v>
      </c>
      <c r="W39" s="81">
        <f>SUM(W32:W38)</f>
        <v>48000</v>
      </c>
      <c r="Y39" s="81">
        <f>SUM(Y32:Y38)</f>
        <v>-4750</v>
      </c>
      <c r="Z39" s="57"/>
      <c r="AA39" s="65">
        <f t="shared" si="14"/>
        <v>-9.004739336492891E-2</v>
      </c>
      <c r="AB39" s="57"/>
      <c r="AC39" s="81">
        <f>SUM(AC32:AC38)</f>
        <v>3777.4700000000021</v>
      </c>
      <c r="AD39" s="57"/>
      <c r="AE39" s="65">
        <f t="shared" si="16"/>
        <v>8.5419581376280418E-2</v>
      </c>
      <c r="AF39" s="57"/>
      <c r="AH39" s="57"/>
      <c r="AI39" s="57"/>
      <c r="AJ39" s="57"/>
    </row>
    <row r="40" spans="1:36" x14ac:dyDescent="0.2">
      <c r="A40" s="55"/>
      <c r="Z40" s="57"/>
      <c r="AB40" s="57"/>
      <c r="AD40" s="57"/>
      <c r="AF40" s="57"/>
      <c r="AH40" s="57"/>
      <c r="AI40" s="57"/>
      <c r="AJ40" s="57"/>
    </row>
    <row r="41" spans="1:36" x14ac:dyDescent="0.2">
      <c r="A41" s="54" t="s">
        <v>388</v>
      </c>
      <c r="Z41" s="57"/>
      <c r="AB41" s="57"/>
      <c r="AD41" s="57"/>
      <c r="AF41" s="57"/>
      <c r="AH41" s="57"/>
      <c r="AI41" s="57"/>
      <c r="AJ41" s="57"/>
    </row>
    <row r="42" spans="1:36" x14ac:dyDescent="0.2">
      <c r="A42" s="55" t="s">
        <v>700</v>
      </c>
      <c r="B42" s="56" t="s">
        <v>651</v>
      </c>
      <c r="C42" s="77">
        <v>0</v>
      </c>
      <c r="E42" s="77">
        <v>0</v>
      </c>
      <c r="G42" s="77">
        <v>33659.879999999997</v>
      </c>
      <c r="I42" s="77">
        <v>57000</v>
      </c>
      <c r="K42" s="77">
        <v>57000</v>
      </c>
      <c r="M42" s="77">
        <v>58573.78</v>
      </c>
      <c r="O42" s="77">
        <v>0</v>
      </c>
      <c r="Q42" s="77">
        <f>SUM(M42,O42)</f>
        <v>58573.78</v>
      </c>
      <c r="S42" s="77">
        <v>0</v>
      </c>
      <c r="U42" s="77">
        <v>0</v>
      </c>
      <c r="W42" s="77">
        <v>57000</v>
      </c>
      <c r="Y42" s="77">
        <f>SUM(W42,-I42)</f>
        <v>0</v>
      </c>
      <c r="Z42" s="57"/>
      <c r="AA42" s="58">
        <f>IF(W42=0,"N/A",PRODUCT(Y42,1/I42))</f>
        <v>0</v>
      </c>
      <c r="AB42" s="57"/>
      <c r="AC42" s="77">
        <f>SUM(W42,-Q42)</f>
        <v>-1573.7799999999988</v>
      </c>
      <c r="AD42" s="57"/>
      <c r="AE42" s="58">
        <f>IF(W42=0,"N/A",PRODUCT(AC42,1/Q42))</f>
        <v>-2.6868335968755964E-2</v>
      </c>
      <c r="AF42" s="57"/>
      <c r="AG42" s="56" t="s">
        <v>1437</v>
      </c>
      <c r="AH42" s="57"/>
      <c r="AI42" s="57"/>
      <c r="AJ42" s="57"/>
    </row>
    <row r="43" spans="1:36" x14ac:dyDescent="0.2">
      <c r="A43" s="59" t="s">
        <v>701</v>
      </c>
      <c r="B43" s="60" t="s">
        <v>242</v>
      </c>
      <c r="C43" s="79">
        <v>0</v>
      </c>
      <c r="D43" s="80"/>
      <c r="E43" s="79">
        <v>0</v>
      </c>
      <c r="F43" s="80"/>
      <c r="G43" s="79">
        <v>0</v>
      </c>
      <c r="H43" s="79"/>
      <c r="I43" s="79">
        <v>0</v>
      </c>
      <c r="J43" s="79"/>
      <c r="K43" s="79">
        <v>0</v>
      </c>
      <c r="L43" s="79"/>
      <c r="M43" s="79">
        <v>0</v>
      </c>
      <c r="N43" s="79"/>
      <c r="O43" s="79">
        <v>0</v>
      </c>
      <c r="P43" s="79"/>
      <c r="Q43" s="79">
        <f>SUM(M43,O43)</f>
        <v>0</v>
      </c>
      <c r="R43" s="79"/>
      <c r="S43" s="79">
        <v>0</v>
      </c>
      <c r="T43" s="79"/>
      <c r="U43" s="79">
        <v>0</v>
      </c>
      <c r="V43" s="79"/>
      <c r="W43" s="79">
        <v>0</v>
      </c>
      <c r="X43" s="79"/>
      <c r="Y43" s="79">
        <f>SUM(W43,-I43)</f>
        <v>0</v>
      </c>
      <c r="Z43" s="62"/>
      <c r="AA43" s="63" t="str">
        <f>IF(W43=0,"N/A",PRODUCT(Y43,1/I43))</f>
        <v>N/A</v>
      </c>
      <c r="AB43" s="62"/>
      <c r="AC43" s="79">
        <f>SUM(W43,-Q43)</f>
        <v>0</v>
      </c>
      <c r="AD43" s="62"/>
      <c r="AE43" s="63" t="str">
        <f>IF(W43=0,"N/A",PRODUCT(AC43,1/Q43))</f>
        <v>N/A</v>
      </c>
      <c r="AF43" s="57"/>
      <c r="AH43" s="57"/>
      <c r="AI43" s="57"/>
      <c r="AJ43" s="57"/>
    </row>
    <row r="44" spans="1:36" x14ac:dyDescent="0.2">
      <c r="A44" s="64" t="s">
        <v>459</v>
      </c>
      <c r="C44" s="81">
        <f>SUM(C42:C43)</f>
        <v>0</v>
      </c>
      <c r="E44" s="81">
        <f>SUM(E42:E43)</f>
        <v>0</v>
      </c>
      <c r="F44" s="77"/>
      <c r="G44" s="81">
        <f>SUM(G42:G43)</f>
        <v>33659.879999999997</v>
      </c>
      <c r="I44" s="81">
        <f>SUM(I42:I43)</f>
        <v>57000</v>
      </c>
      <c r="K44" s="81">
        <f>SUM(K42:K43)</f>
        <v>57000</v>
      </c>
      <c r="M44" s="81">
        <f>SUM(M42:M43)</f>
        <v>58573.78</v>
      </c>
      <c r="O44" s="81">
        <f>SUM(O42:O43)</f>
        <v>0</v>
      </c>
      <c r="Q44" s="81">
        <f>SUM(Q42:Q43)</f>
        <v>58573.78</v>
      </c>
      <c r="S44" s="81">
        <f>SUM(S42:S43)</f>
        <v>0</v>
      </c>
      <c r="U44" s="81">
        <f>SUM(U42:U43)</f>
        <v>0</v>
      </c>
      <c r="W44" s="81">
        <f>SUM(W42:W43)</f>
        <v>57000</v>
      </c>
      <c r="Y44" s="81">
        <f>SUM(Y42:Y43)</f>
        <v>0</v>
      </c>
      <c r="Z44" s="57"/>
      <c r="AA44" s="65">
        <f>IF(W44=0,"N/A",PRODUCT(Y44,1/I44))</f>
        <v>0</v>
      </c>
      <c r="AB44" s="57"/>
      <c r="AC44" s="81">
        <f>SUM(AC42:AC43)</f>
        <v>-1573.7799999999988</v>
      </c>
      <c r="AD44" s="57"/>
      <c r="AE44" s="65">
        <f>IF(W44=0,"N/A",PRODUCT(AC44,1/Q44))</f>
        <v>-2.6868335968755964E-2</v>
      </c>
      <c r="AF44" s="57"/>
      <c r="AH44" s="57"/>
      <c r="AI44" s="57"/>
      <c r="AJ44" s="57"/>
    </row>
    <row r="45" spans="1:36" x14ac:dyDescent="0.2">
      <c r="Z45" s="57"/>
      <c r="AB45" s="57"/>
      <c r="AD45" s="57"/>
      <c r="AF45" s="57"/>
      <c r="AH45" s="57"/>
      <c r="AI45" s="57"/>
      <c r="AJ45" s="57"/>
    </row>
    <row r="46" spans="1:36" ht="13.5" thickBot="1" x14ac:dyDescent="0.25">
      <c r="A46" s="67" t="s">
        <v>745</v>
      </c>
      <c r="C46" s="83">
        <f>SUM(C13,C25,C29,C39,C44)</f>
        <v>635530.67000000004</v>
      </c>
      <c r="E46" s="83">
        <f>SUM(E13,E25,E29,E39,E44)</f>
        <v>750674.50000000012</v>
      </c>
      <c r="G46" s="83">
        <f>SUM(G13,G25,G29,G39,G44)</f>
        <v>955135.20000000007</v>
      </c>
      <c r="I46" s="83">
        <f>SUM(I13,I25,I29,I39,I44)</f>
        <v>1234450</v>
      </c>
      <c r="K46" s="83">
        <f>SUM(K13,K25,K29,K39,K44)</f>
        <v>1258450</v>
      </c>
      <c r="M46" s="82">
        <f>SUM(M13,M25,M29,M39,M44)</f>
        <v>1264145.52</v>
      </c>
      <c r="O46" s="82">
        <f>SUM(O13,O25,O29,O39,O44)</f>
        <v>0</v>
      </c>
      <c r="Q46" s="83">
        <f>SUM(Q13,Q25,Q29,Q39,Q44)</f>
        <v>1264145.52</v>
      </c>
      <c r="S46" s="82">
        <f>SUM(S13,S25,S29,S39,S44)</f>
        <v>1251000</v>
      </c>
      <c r="U46" s="82">
        <f>SUM(U13,U25,U29,U39,U44)</f>
        <v>1261000</v>
      </c>
      <c r="W46" s="83">
        <f>SUM(W13,W25,W29,W39,W44)</f>
        <v>1405500</v>
      </c>
      <c r="Y46" s="82">
        <f>SUM(Y13,Y25,Y29,Y39,Y44)</f>
        <v>171050</v>
      </c>
      <c r="Z46" s="57"/>
      <c r="AA46" s="125">
        <f>IF(W46=0,"N/A",PRODUCT(Y46,1/I46))</f>
        <v>0.13856373283648588</v>
      </c>
      <c r="AB46" s="57"/>
      <c r="AC46" s="82">
        <f>SUM(AC13,AC25,AC29,AC39,AC44)</f>
        <v>141354.48000000004</v>
      </c>
      <c r="AD46" s="57"/>
      <c r="AE46" s="125">
        <f>IF(W46=0,"N/A",PRODUCT(AC46,1/Q46))</f>
        <v>0.11181820270185353</v>
      </c>
      <c r="AF46" s="57"/>
      <c r="AH46" s="57"/>
      <c r="AI46" s="57"/>
      <c r="AJ46" s="57"/>
    </row>
    <row r="47" spans="1:36" ht="13.5" thickTop="1" x14ac:dyDescent="0.2">
      <c r="Z47" s="57"/>
      <c r="AB47" s="57"/>
      <c r="AD47" s="57"/>
      <c r="AF47" s="57"/>
      <c r="AH47" s="57"/>
      <c r="AI47" s="57"/>
      <c r="AJ47" s="57"/>
    </row>
    <row r="48" spans="1:36" x14ac:dyDescent="0.2">
      <c r="Z48" s="57"/>
      <c r="AB48" s="57"/>
      <c r="AD48" s="57"/>
      <c r="AF48" s="57"/>
      <c r="AH48" s="57"/>
      <c r="AI48" s="57"/>
      <c r="AJ48" s="57"/>
    </row>
    <row r="49" spans="26:36" x14ac:dyDescent="0.2">
      <c r="Z49" s="57"/>
      <c r="AB49" s="57"/>
      <c r="AD49" s="57"/>
      <c r="AF49" s="57"/>
      <c r="AH49" s="57"/>
      <c r="AI49" s="57"/>
      <c r="AJ49" s="57"/>
    </row>
    <row r="50" spans="26:36" x14ac:dyDescent="0.2">
      <c r="Z50" s="57"/>
      <c r="AB50" s="57"/>
      <c r="AD50" s="57"/>
      <c r="AF50" s="57"/>
      <c r="AH50" s="57"/>
      <c r="AI50" s="57"/>
      <c r="AJ50" s="57"/>
    </row>
    <row r="51" spans="26:36" x14ac:dyDescent="0.2">
      <c r="Z51" s="57"/>
      <c r="AB51" s="57"/>
      <c r="AD51" s="57"/>
      <c r="AF51" s="57"/>
      <c r="AH51" s="57"/>
      <c r="AI51" s="57"/>
      <c r="AJ51" s="57"/>
    </row>
    <row r="52" spans="26:36" x14ac:dyDescent="0.2">
      <c r="Z52" s="57"/>
      <c r="AB52" s="57"/>
      <c r="AD52" s="57"/>
      <c r="AF52" s="57"/>
      <c r="AH52" s="57"/>
      <c r="AI52" s="57"/>
      <c r="AJ52" s="57"/>
    </row>
    <row r="53" spans="26:36" x14ac:dyDescent="0.2">
      <c r="Z53" s="57"/>
      <c r="AB53" s="57"/>
      <c r="AD53" s="57"/>
      <c r="AF53" s="57"/>
      <c r="AH53" s="57"/>
      <c r="AI53" s="57"/>
      <c r="AJ53" s="57"/>
    </row>
    <row r="54" spans="26:36" x14ac:dyDescent="0.2">
      <c r="Z54" s="57"/>
      <c r="AB54" s="57"/>
      <c r="AD54" s="57"/>
      <c r="AF54" s="57"/>
      <c r="AH54" s="57"/>
      <c r="AI54" s="57"/>
      <c r="AJ54" s="57"/>
    </row>
    <row r="55" spans="26:36" x14ac:dyDescent="0.2">
      <c r="Z55" s="57"/>
      <c r="AB55" s="57"/>
      <c r="AD55" s="57"/>
      <c r="AF55" s="57"/>
      <c r="AH55" s="57"/>
      <c r="AI55" s="57"/>
      <c r="AJ55" s="57"/>
    </row>
    <row r="56" spans="26:36" x14ac:dyDescent="0.2">
      <c r="Z56" s="57"/>
      <c r="AB56" s="57"/>
      <c r="AD56" s="57"/>
      <c r="AF56" s="57"/>
      <c r="AH56" s="57"/>
      <c r="AI56" s="57"/>
      <c r="AJ56" s="57"/>
    </row>
    <row r="57" spans="26:36" x14ac:dyDescent="0.2">
      <c r="Z57" s="57"/>
      <c r="AB57" s="57"/>
      <c r="AD57" s="57"/>
      <c r="AF57" s="57"/>
      <c r="AH57" s="57"/>
      <c r="AI57" s="57"/>
      <c r="AJ57" s="57"/>
    </row>
    <row r="58" spans="26:36" x14ac:dyDescent="0.2">
      <c r="Z58" s="57"/>
      <c r="AB58" s="57"/>
      <c r="AD58" s="57"/>
      <c r="AF58" s="57"/>
      <c r="AH58" s="57"/>
      <c r="AI58" s="57"/>
      <c r="AJ58" s="57"/>
    </row>
    <row r="59" spans="26:36" x14ac:dyDescent="0.2">
      <c r="Z59" s="57"/>
      <c r="AB59" s="57"/>
      <c r="AD59" s="57"/>
      <c r="AF59" s="57"/>
      <c r="AH59" s="57"/>
      <c r="AI59" s="57"/>
      <c r="AJ59" s="57"/>
    </row>
    <row r="60" spans="26:36" x14ac:dyDescent="0.2">
      <c r="Z60" s="57"/>
      <c r="AB60" s="57"/>
      <c r="AD60" s="57"/>
      <c r="AF60" s="57"/>
      <c r="AH60" s="57"/>
      <c r="AI60" s="57"/>
      <c r="AJ60" s="57"/>
    </row>
    <row r="61" spans="26:36" x14ac:dyDescent="0.2">
      <c r="Z61" s="57"/>
      <c r="AB61" s="57"/>
      <c r="AD61" s="57"/>
      <c r="AF61" s="57"/>
      <c r="AH61" s="57"/>
      <c r="AI61" s="57"/>
      <c r="AJ61" s="57"/>
    </row>
    <row r="62" spans="26:36" x14ac:dyDescent="0.2">
      <c r="Z62" s="57"/>
      <c r="AB62" s="57"/>
      <c r="AD62" s="57"/>
      <c r="AF62" s="57"/>
      <c r="AH62" s="57"/>
      <c r="AI62" s="57"/>
      <c r="AJ62" s="57"/>
    </row>
    <row r="63" spans="26:36" x14ac:dyDescent="0.2">
      <c r="Z63" s="57"/>
      <c r="AB63" s="57"/>
      <c r="AD63" s="57"/>
      <c r="AF63" s="57"/>
      <c r="AH63" s="57"/>
      <c r="AI63" s="57"/>
      <c r="AJ63" s="57"/>
    </row>
    <row r="64" spans="26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  <row r="79" spans="26:36" x14ac:dyDescent="0.2">
      <c r="Z79" s="57"/>
      <c r="AB79" s="57"/>
      <c r="AD79" s="57"/>
      <c r="AF79" s="57"/>
      <c r="AH79" s="57"/>
      <c r="AI79" s="57"/>
      <c r="AJ79" s="57"/>
    </row>
    <row r="80" spans="26:36" x14ac:dyDescent="0.2">
      <c r="Z80" s="57"/>
      <c r="AB80" s="57"/>
      <c r="AD80" s="57"/>
      <c r="AF80" s="57"/>
      <c r="AH80" s="57"/>
      <c r="AI80" s="57"/>
      <c r="AJ80" s="57"/>
    </row>
    <row r="81" spans="26:36" x14ac:dyDescent="0.2">
      <c r="Z81" s="57"/>
      <c r="AB81" s="57"/>
      <c r="AD81" s="57"/>
      <c r="AF81" s="57"/>
      <c r="AH81" s="57"/>
      <c r="AI81" s="57"/>
      <c r="AJ81" s="57"/>
    </row>
    <row r="82" spans="26:36" x14ac:dyDescent="0.2">
      <c r="Z82" s="57"/>
      <c r="AB82" s="57"/>
      <c r="AD82" s="57"/>
      <c r="AF82" s="57"/>
      <c r="AH82" s="57"/>
      <c r="AI82" s="57"/>
      <c r="AJ82" s="57"/>
    </row>
    <row r="83" spans="26:36" x14ac:dyDescent="0.2">
      <c r="Z83" s="57"/>
      <c r="AB83" s="57"/>
      <c r="AD83" s="57"/>
      <c r="AF83" s="57"/>
      <c r="AH83" s="57"/>
      <c r="AI83" s="57"/>
      <c r="AJ83" s="57"/>
    </row>
    <row r="84" spans="26:36" x14ac:dyDescent="0.2">
      <c r="Z84" s="57"/>
      <c r="AB84" s="57"/>
      <c r="AD84" s="57"/>
      <c r="AF84" s="57"/>
      <c r="AH84" s="57"/>
      <c r="AI84" s="57"/>
      <c r="AJ84" s="57"/>
    </row>
    <row r="85" spans="26:36" x14ac:dyDescent="0.2">
      <c r="Z85" s="57"/>
      <c r="AB85" s="57"/>
      <c r="AD85" s="57"/>
      <c r="AF85" s="57"/>
      <c r="AH85" s="57"/>
      <c r="AI85" s="57"/>
      <c r="AJ85" s="57"/>
    </row>
    <row r="86" spans="26:36" x14ac:dyDescent="0.2">
      <c r="Z86" s="57"/>
      <c r="AB86" s="57"/>
      <c r="AD86" s="57"/>
      <c r="AF86" s="57"/>
      <c r="AH86" s="57"/>
      <c r="AI86" s="57"/>
      <c r="AJ86" s="57"/>
    </row>
    <row r="87" spans="26:36" x14ac:dyDescent="0.2">
      <c r="Z87" s="57"/>
      <c r="AB87" s="57"/>
      <c r="AD87" s="57"/>
      <c r="AF87" s="57"/>
      <c r="AH87" s="57"/>
      <c r="AI87" s="57"/>
      <c r="AJ87" s="57"/>
    </row>
    <row r="88" spans="26:36" x14ac:dyDescent="0.2">
      <c r="Z88" s="57"/>
      <c r="AB88" s="57"/>
      <c r="AD88" s="57"/>
      <c r="AF88" s="57"/>
      <c r="AH88" s="57"/>
      <c r="AI88" s="57"/>
      <c r="AJ88" s="57"/>
    </row>
    <row r="89" spans="26:36" x14ac:dyDescent="0.2">
      <c r="Z89" s="57"/>
      <c r="AB89" s="57"/>
      <c r="AD89" s="57"/>
      <c r="AF89" s="57"/>
      <c r="AH89" s="57"/>
      <c r="AI89" s="57"/>
      <c r="AJ89" s="57"/>
    </row>
    <row r="90" spans="26:36" x14ac:dyDescent="0.2">
      <c r="Z90" s="57"/>
      <c r="AB90" s="57"/>
      <c r="AD90" s="57"/>
      <c r="AF90" s="57"/>
      <c r="AH90" s="57"/>
      <c r="AI90" s="57"/>
      <c r="AJ90" s="57"/>
    </row>
    <row r="91" spans="26:36" x14ac:dyDescent="0.2">
      <c r="Z91" s="57"/>
      <c r="AB91" s="57"/>
      <c r="AD91" s="57"/>
      <c r="AF91" s="57"/>
      <c r="AH91" s="57"/>
      <c r="AI91" s="57"/>
      <c r="AJ91" s="57"/>
    </row>
    <row r="92" spans="26:36" x14ac:dyDescent="0.2">
      <c r="Z92" s="57"/>
      <c r="AB92" s="57"/>
      <c r="AD92" s="57"/>
      <c r="AF92" s="57"/>
      <c r="AH92" s="57"/>
      <c r="AI92" s="57"/>
      <c r="AJ92" s="57"/>
    </row>
    <row r="93" spans="26:36" x14ac:dyDescent="0.2">
      <c r="Z93" s="57"/>
      <c r="AB93" s="57"/>
      <c r="AD93" s="57"/>
      <c r="AF93" s="57"/>
      <c r="AH93" s="57"/>
      <c r="AI93" s="57"/>
      <c r="AJ93" s="57"/>
    </row>
    <row r="94" spans="26:36" x14ac:dyDescent="0.2">
      <c r="Z94" s="57"/>
      <c r="AB94" s="57"/>
      <c r="AD94" s="57"/>
      <c r="AF94" s="57"/>
      <c r="AH94" s="57"/>
      <c r="AI94" s="57"/>
      <c r="AJ94" s="57"/>
    </row>
    <row r="95" spans="26:36" x14ac:dyDescent="0.2">
      <c r="Z95" s="57"/>
      <c r="AB95" s="57"/>
      <c r="AD95" s="57"/>
      <c r="AF95" s="57"/>
      <c r="AH95" s="57"/>
      <c r="AI95" s="57"/>
      <c r="AJ95" s="57"/>
    </row>
    <row r="96" spans="26:36" x14ac:dyDescent="0.2">
      <c r="Z96" s="57"/>
      <c r="AB96" s="57"/>
      <c r="AD96" s="57"/>
      <c r="AF96" s="57"/>
      <c r="AH96" s="57"/>
      <c r="AI96" s="57"/>
      <c r="AJ96" s="57"/>
    </row>
    <row r="97" spans="26:36" x14ac:dyDescent="0.2">
      <c r="Z97" s="57"/>
      <c r="AB97" s="57"/>
      <c r="AD97" s="57"/>
      <c r="AF97" s="57"/>
      <c r="AH97" s="57"/>
      <c r="AI97" s="57"/>
      <c r="AJ97" s="57"/>
    </row>
    <row r="98" spans="26:36" x14ac:dyDescent="0.2">
      <c r="Z98" s="57"/>
      <c r="AB98" s="57"/>
      <c r="AD98" s="57"/>
      <c r="AF98" s="57"/>
      <c r="AH98" s="57"/>
      <c r="AI98" s="57"/>
      <c r="AJ98" s="57"/>
    </row>
    <row r="99" spans="26:36" x14ac:dyDescent="0.2">
      <c r="Z99" s="57"/>
      <c r="AB99" s="57"/>
      <c r="AD99" s="57"/>
      <c r="AF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H113" s="57"/>
      <c r="AI113" s="57"/>
      <c r="AJ113" s="57"/>
    </row>
    <row r="114" spans="26:36" x14ac:dyDescent="0.2">
      <c r="Z114" s="57"/>
      <c r="AB114" s="57"/>
      <c r="AD114" s="57"/>
      <c r="AF114" s="57"/>
      <c r="AH114" s="57"/>
      <c r="AI114" s="57"/>
      <c r="AJ114" s="5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4A7D-9E69-4BD4-8053-2EBF1697156F}">
  <sheetPr>
    <tabColor rgb="FF92D050"/>
  </sheetPr>
  <dimension ref="A1:AJ117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56" customWidth="1"/>
    <col min="4" max="4" width="1.7109375" style="48" customWidth="1"/>
    <col min="5" max="5" width="11.7109375" style="56" customWidth="1"/>
    <col min="6" max="6" width="1.7109375" style="48" customWidth="1"/>
    <col min="7" max="7" width="11.7109375" style="56" customWidth="1"/>
    <col min="8" max="8" width="1.7109375" style="56" customWidth="1"/>
    <col min="9" max="9" width="11.7109375" style="56" customWidth="1"/>
    <col min="10" max="10" width="1.7109375" style="56" customWidth="1"/>
    <col min="11" max="11" width="11.7109375" style="56" customWidth="1"/>
    <col min="12" max="12" width="1.7109375" style="56" customWidth="1"/>
    <col min="13" max="13" width="11.7109375" style="56" customWidth="1"/>
    <col min="14" max="14" width="1.7109375" style="56" customWidth="1"/>
    <col min="15" max="15" width="11.7109375" style="56" customWidth="1"/>
    <col min="16" max="16" width="1.7109375" style="56" customWidth="1"/>
    <col min="17" max="17" width="11.7109375" style="56" customWidth="1"/>
    <col min="18" max="18" width="1.7109375" style="56" customWidth="1"/>
    <col min="19" max="19" width="11.7109375" style="56" customWidth="1"/>
    <col min="20" max="20" width="1.7109375" style="56" customWidth="1"/>
    <col min="21" max="21" width="11.7109375" style="56" customWidth="1"/>
    <col min="22" max="22" width="1.7109375" style="56" customWidth="1"/>
    <col min="23" max="23" width="11.7109375" style="56" customWidth="1"/>
    <col min="24" max="24" width="1.7109375" style="56" customWidth="1"/>
    <col min="25" max="25" width="11.7109375" style="56" customWidth="1"/>
    <col min="26" max="26" width="1.7109375" style="56" customWidth="1"/>
    <col min="27" max="27" width="11.7109375" style="56" customWidth="1"/>
    <col min="28" max="28" width="1.7109375" style="56" customWidth="1"/>
    <col min="29" max="29" width="11.7109375" style="56" customWidth="1"/>
    <col min="30" max="30" width="1.7109375" style="56" customWidth="1"/>
    <col min="31" max="31" width="11.7109375" style="56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49"/>
      <c r="D1" s="48"/>
      <c r="E1" s="49"/>
      <c r="F1" s="48"/>
      <c r="G1" s="49"/>
      <c r="H1" s="48"/>
      <c r="I1" s="49" t="s">
        <v>4</v>
      </c>
      <c r="J1" s="48"/>
      <c r="K1" s="49" t="s">
        <v>4</v>
      </c>
      <c r="L1" s="48"/>
      <c r="M1" s="47" t="s">
        <v>4</v>
      </c>
      <c r="N1" s="48"/>
      <c r="O1" s="47" t="s">
        <v>4</v>
      </c>
      <c r="P1" s="48"/>
      <c r="Q1" s="49" t="s">
        <v>4</v>
      </c>
      <c r="R1" s="48"/>
      <c r="S1" s="47" t="s">
        <v>10</v>
      </c>
      <c r="T1" s="48"/>
      <c r="U1" s="47" t="s">
        <v>10</v>
      </c>
      <c r="V1" s="48"/>
      <c r="W1" s="49" t="s">
        <v>10</v>
      </c>
      <c r="X1" s="48"/>
      <c r="Y1" s="47" t="s">
        <v>1067</v>
      </c>
      <c r="Z1" s="48"/>
      <c r="AA1" s="47" t="s">
        <v>1070</v>
      </c>
      <c r="AC1" s="47" t="s">
        <v>1067</v>
      </c>
      <c r="AE1" s="47" t="s">
        <v>1070</v>
      </c>
      <c r="AF1" s="48"/>
      <c r="AG1" s="46" t="s">
        <v>952</v>
      </c>
    </row>
    <row r="2" spans="1:36" s="46" customFormat="1" x14ac:dyDescent="0.2">
      <c r="C2" s="49" t="s">
        <v>0</v>
      </c>
      <c r="D2" s="48"/>
      <c r="E2" s="49" t="s">
        <v>1</v>
      </c>
      <c r="F2" s="48"/>
      <c r="G2" s="49" t="s">
        <v>3</v>
      </c>
      <c r="H2" s="48"/>
      <c r="I2" s="49" t="s">
        <v>5</v>
      </c>
      <c r="J2" s="48"/>
      <c r="K2" s="49" t="s">
        <v>7</v>
      </c>
      <c r="L2" s="48"/>
      <c r="M2" s="47" t="s">
        <v>1527</v>
      </c>
      <c r="N2" s="48"/>
      <c r="O2" s="47" t="s">
        <v>590</v>
      </c>
      <c r="P2" s="48"/>
      <c r="Q2" s="49" t="s">
        <v>8</v>
      </c>
      <c r="R2" s="48"/>
      <c r="S2" s="47" t="s">
        <v>11</v>
      </c>
      <c r="T2" s="48"/>
      <c r="U2" s="47" t="s">
        <v>11</v>
      </c>
      <c r="V2" s="48"/>
      <c r="W2" s="49" t="s">
        <v>11</v>
      </c>
      <c r="X2" s="48"/>
      <c r="Y2" s="47" t="s">
        <v>1068</v>
      </c>
      <c r="Z2" s="48"/>
      <c r="AA2" s="47" t="s">
        <v>1068</v>
      </c>
      <c r="AC2" s="47" t="s">
        <v>1068</v>
      </c>
      <c r="AE2" s="47" t="s">
        <v>1068</v>
      </c>
      <c r="AF2" s="48"/>
    </row>
    <row r="3" spans="1:36" s="46" customFormat="1" x14ac:dyDescent="0.2">
      <c r="C3" s="49" t="s">
        <v>2</v>
      </c>
      <c r="D3" s="48"/>
      <c r="E3" s="49" t="s">
        <v>2</v>
      </c>
      <c r="F3" s="48"/>
      <c r="G3" s="49" t="s">
        <v>2</v>
      </c>
      <c r="H3" s="48"/>
      <c r="I3" s="49" t="s">
        <v>6</v>
      </c>
      <c r="J3" s="48"/>
      <c r="K3" s="49" t="s">
        <v>6</v>
      </c>
      <c r="L3" s="48"/>
      <c r="M3" s="47" t="s">
        <v>589</v>
      </c>
      <c r="N3" s="48"/>
      <c r="O3" s="47" t="s">
        <v>8</v>
      </c>
      <c r="P3" s="48"/>
      <c r="Q3" s="49" t="s">
        <v>9</v>
      </c>
      <c r="R3" s="48"/>
      <c r="S3" s="47" t="s">
        <v>945</v>
      </c>
      <c r="T3" s="48"/>
      <c r="U3" s="47" t="s">
        <v>946</v>
      </c>
      <c r="V3" s="48"/>
      <c r="W3" s="49" t="s">
        <v>6</v>
      </c>
      <c r="X3" s="48"/>
      <c r="Y3" s="47" t="s">
        <v>1069</v>
      </c>
      <c r="Z3" s="48"/>
      <c r="AA3" s="47" t="s">
        <v>1069</v>
      </c>
      <c r="AC3" s="47" t="s">
        <v>1071</v>
      </c>
      <c r="AE3" s="47" t="s">
        <v>1071</v>
      </c>
      <c r="AF3" s="48"/>
    </row>
    <row r="4" spans="1:36" s="51" customFormat="1" x14ac:dyDescent="0.2">
      <c r="A4" s="50" t="s">
        <v>746</v>
      </c>
      <c r="C4" s="52"/>
      <c r="D4" s="53"/>
      <c r="E4" s="52"/>
      <c r="F4" s="5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H4" s="52"/>
      <c r="AI4" s="52"/>
      <c r="AJ4" s="52"/>
    </row>
    <row r="5" spans="1:36" s="51" customFormat="1" x14ac:dyDescent="0.2">
      <c r="A5" s="54" t="s">
        <v>38</v>
      </c>
      <c r="C5" s="52"/>
      <c r="D5" s="53"/>
      <c r="E5" s="52"/>
      <c r="F5" s="53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8"/>
      <c r="AB5" s="52"/>
      <c r="AC5" s="52"/>
      <c r="AD5" s="52"/>
      <c r="AE5" s="58"/>
      <c r="AF5" s="52"/>
      <c r="AH5" s="52"/>
      <c r="AI5" s="52"/>
      <c r="AJ5" s="52"/>
    </row>
    <row r="6" spans="1:36" x14ac:dyDescent="0.2">
      <c r="A6" s="59" t="s">
        <v>711</v>
      </c>
      <c r="B6" s="60" t="s">
        <v>219</v>
      </c>
      <c r="C6" s="79">
        <v>170420.52</v>
      </c>
      <c r="D6" s="80"/>
      <c r="E6" s="79">
        <v>175348.73</v>
      </c>
      <c r="F6" s="80"/>
      <c r="G6" s="79">
        <v>184121.83</v>
      </c>
      <c r="H6" s="79"/>
      <c r="I6" s="79">
        <v>193200</v>
      </c>
      <c r="J6" s="79"/>
      <c r="K6" s="79">
        <v>193200</v>
      </c>
      <c r="L6" s="79"/>
      <c r="M6" s="79">
        <v>196572.48</v>
      </c>
      <c r="N6" s="79"/>
      <c r="O6" s="79">
        <f>PRODUCT(M6,0/12)</f>
        <v>0</v>
      </c>
      <c r="P6" s="79"/>
      <c r="Q6" s="79">
        <f t="shared" ref="Q6:Q12" si="0">SUM(M6,O6)</f>
        <v>196572.48</v>
      </c>
      <c r="R6" s="79"/>
      <c r="S6" s="79">
        <v>205000</v>
      </c>
      <c r="T6" s="79"/>
      <c r="U6" s="79">
        <v>205000</v>
      </c>
      <c r="V6" s="79"/>
      <c r="W6" s="79">
        <v>205000</v>
      </c>
      <c r="X6" s="79"/>
      <c r="Y6" s="79">
        <f t="shared" ref="Y6:Y12" si="1">SUM(W6,-I6)</f>
        <v>11800</v>
      </c>
      <c r="Z6" s="62"/>
      <c r="AA6" s="63">
        <f>IF(W6=0,"N/A",PRODUCT(Y6,1/I6))</f>
        <v>6.1076604554865417E-2</v>
      </c>
      <c r="AB6" s="62"/>
      <c r="AC6" s="79">
        <f t="shared" ref="AC6:AC12" si="2">SUM(W6,-Q6)</f>
        <v>8427.5199999999895</v>
      </c>
      <c r="AD6" s="62"/>
      <c r="AE6" s="63">
        <f>IF(W6=0,"N/A",PRODUCT(AC6,1/Q6))</f>
        <v>4.2872328822427176E-2</v>
      </c>
      <c r="AF6" s="57"/>
      <c r="AH6" s="57"/>
      <c r="AI6" s="57"/>
      <c r="AJ6" s="57"/>
    </row>
    <row r="7" spans="1:36" x14ac:dyDescent="0.2">
      <c r="A7" s="55" t="s">
        <v>712</v>
      </c>
      <c r="B7" s="56" t="s">
        <v>220</v>
      </c>
      <c r="C7" s="77">
        <v>540.54</v>
      </c>
      <c r="D7" s="78"/>
      <c r="E7" s="77">
        <v>0</v>
      </c>
      <c r="F7" s="78"/>
      <c r="G7" s="77">
        <v>0</v>
      </c>
      <c r="H7" s="77"/>
      <c r="I7" s="77">
        <v>2000</v>
      </c>
      <c r="J7" s="77"/>
      <c r="K7" s="77">
        <v>2000</v>
      </c>
      <c r="L7" s="77"/>
      <c r="M7" s="77">
        <v>0</v>
      </c>
      <c r="N7" s="77"/>
      <c r="O7" s="77">
        <f>PRODUCT(M7,0/12)</f>
        <v>0</v>
      </c>
      <c r="P7" s="77"/>
      <c r="Q7" s="77">
        <f t="shared" si="0"/>
        <v>0</v>
      </c>
      <c r="R7" s="77"/>
      <c r="S7" s="77">
        <v>0</v>
      </c>
      <c r="T7" s="77"/>
      <c r="U7" s="77">
        <v>0</v>
      </c>
      <c r="V7" s="77"/>
      <c r="W7" s="77">
        <v>1000</v>
      </c>
      <c r="X7" s="77"/>
      <c r="Y7" s="77">
        <f t="shared" si="1"/>
        <v>-1000</v>
      </c>
      <c r="Z7" s="57"/>
      <c r="AA7" s="58">
        <f t="shared" ref="AA7:AA13" si="3">IF(W7=0,"N/A",PRODUCT(Y7,1/I7))</f>
        <v>-0.5</v>
      </c>
      <c r="AB7" s="57"/>
      <c r="AC7" s="77">
        <f t="shared" si="2"/>
        <v>1000</v>
      </c>
      <c r="AD7" s="57"/>
      <c r="AE7" s="58" t="e">
        <f t="shared" ref="AE7:AE13" si="4">IF(W7=0,"N/A",PRODUCT(AC7,1/Q7))</f>
        <v>#DIV/0!</v>
      </c>
      <c r="AF7" s="57"/>
      <c r="AH7" s="57"/>
      <c r="AI7" s="57"/>
      <c r="AJ7" s="57"/>
    </row>
    <row r="8" spans="1:36" x14ac:dyDescent="0.2">
      <c r="A8" s="59" t="s">
        <v>713</v>
      </c>
      <c r="B8" s="60" t="s">
        <v>286</v>
      </c>
      <c r="C8" s="79">
        <v>12387.01</v>
      </c>
      <c r="D8" s="80"/>
      <c r="E8" s="79">
        <v>13739.81</v>
      </c>
      <c r="F8" s="80"/>
      <c r="G8" s="79">
        <v>13710.4</v>
      </c>
      <c r="H8" s="79"/>
      <c r="I8" s="79">
        <v>14950</v>
      </c>
      <c r="J8" s="79"/>
      <c r="K8" s="79">
        <v>14950</v>
      </c>
      <c r="L8" s="79"/>
      <c r="M8" s="79">
        <v>14296.33</v>
      </c>
      <c r="N8" s="79"/>
      <c r="O8" s="79">
        <f>PRODUCT(M8,0/12)</f>
        <v>0</v>
      </c>
      <c r="P8" s="79"/>
      <c r="Q8" s="79">
        <f t="shared" si="0"/>
        <v>14296.33</v>
      </c>
      <c r="R8" s="79"/>
      <c r="S8" s="79">
        <v>15750</v>
      </c>
      <c r="T8" s="79"/>
      <c r="U8" s="79">
        <v>15750</v>
      </c>
      <c r="V8" s="79"/>
      <c r="W8" s="79">
        <v>15750</v>
      </c>
      <c r="X8" s="79"/>
      <c r="Y8" s="79">
        <f t="shared" si="1"/>
        <v>800</v>
      </c>
      <c r="Z8" s="62"/>
      <c r="AA8" s="63">
        <f t="shared" si="3"/>
        <v>5.3511705685618728E-2</v>
      </c>
      <c r="AB8" s="62"/>
      <c r="AC8" s="79">
        <f t="shared" si="2"/>
        <v>1453.67</v>
      </c>
      <c r="AD8" s="62"/>
      <c r="AE8" s="63">
        <f t="shared" si="4"/>
        <v>0.10168134059580328</v>
      </c>
      <c r="AF8" s="57"/>
      <c r="AH8" s="57"/>
      <c r="AI8" s="57"/>
      <c r="AJ8" s="57"/>
    </row>
    <row r="9" spans="1:36" x14ac:dyDescent="0.2">
      <c r="A9" s="55" t="s">
        <v>714</v>
      </c>
      <c r="B9" s="56" t="s">
        <v>221</v>
      </c>
      <c r="C9" s="77">
        <v>22633.919999999998</v>
      </c>
      <c r="D9" s="78"/>
      <c r="E9" s="77">
        <v>26836.31</v>
      </c>
      <c r="F9" s="78"/>
      <c r="G9" s="77">
        <v>24661.83</v>
      </c>
      <c r="H9" s="77"/>
      <c r="I9" s="77">
        <v>25000</v>
      </c>
      <c r="J9" s="77"/>
      <c r="K9" s="77">
        <v>25000</v>
      </c>
      <c r="L9" s="77"/>
      <c r="M9" s="77">
        <v>28951.23</v>
      </c>
      <c r="N9" s="77"/>
      <c r="O9" s="77">
        <f>PRODUCT(M9,0/12)</f>
        <v>0</v>
      </c>
      <c r="P9" s="77"/>
      <c r="Q9" s="77">
        <f t="shared" si="0"/>
        <v>28951.23</v>
      </c>
      <c r="R9" s="77"/>
      <c r="S9" s="77">
        <v>29000</v>
      </c>
      <c r="T9" s="77"/>
      <c r="U9" s="77">
        <v>29000</v>
      </c>
      <c r="V9" s="77"/>
      <c r="W9" s="77">
        <v>29000</v>
      </c>
      <c r="X9" s="77"/>
      <c r="Y9" s="77">
        <f t="shared" si="1"/>
        <v>4000</v>
      </c>
      <c r="Z9" s="57"/>
      <c r="AA9" s="58">
        <f t="shared" si="3"/>
        <v>0.16</v>
      </c>
      <c r="AB9" s="57"/>
      <c r="AC9" s="77">
        <f t="shared" si="2"/>
        <v>48.770000000000437</v>
      </c>
      <c r="AD9" s="57"/>
      <c r="AE9" s="58">
        <f t="shared" si="4"/>
        <v>1.6845570982649248E-3</v>
      </c>
      <c r="AF9" s="57"/>
      <c r="AH9" s="57"/>
      <c r="AI9" s="57"/>
      <c r="AJ9" s="57"/>
    </row>
    <row r="10" spans="1:36" x14ac:dyDescent="0.2">
      <c r="A10" s="59" t="s">
        <v>715</v>
      </c>
      <c r="B10" s="60" t="s">
        <v>400</v>
      </c>
      <c r="C10" s="79">
        <v>11011.97</v>
      </c>
      <c r="D10" s="80"/>
      <c r="E10" s="79">
        <v>12112.86</v>
      </c>
      <c r="F10" s="80"/>
      <c r="G10" s="79">
        <v>13338.17</v>
      </c>
      <c r="H10" s="79"/>
      <c r="I10" s="79">
        <v>3450</v>
      </c>
      <c r="J10" s="79"/>
      <c r="K10" s="79">
        <v>3450</v>
      </c>
      <c r="L10" s="79"/>
      <c r="M10" s="79">
        <v>2658.3</v>
      </c>
      <c r="N10" s="79"/>
      <c r="O10" s="79">
        <v>0</v>
      </c>
      <c r="P10" s="79"/>
      <c r="Q10" s="79">
        <f t="shared" si="0"/>
        <v>2658.3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-3450</v>
      </c>
      <c r="Z10" s="62"/>
      <c r="AA10" s="63" t="str">
        <f t="shared" si="3"/>
        <v>N/A</v>
      </c>
      <c r="AB10" s="62"/>
      <c r="AC10" s="79">
        <f t="shared" si="2"/>
        <v>-2658.3</v>
      </c>
      <c r="AD10" s="62"/>
      <c r="AE10" s="63" t="str">
        <f t="shared" si="4"/>
        <v>N/A</v>
      </c>
      <c r="AF10" s="57"/>
      <c r="AH10" s="57"/>
      <c r="AI10" s="57"/>
      <c r="AJ10" s="57"/>
    </row>
    <row r="11" spans="1:36" x14ac:dyDescent="0.2">
      <c r="A11" s="55" t="s">
        <v>716</v>
      </c>
      <c r="B11" s="56" t="s">
        <v>401</v>
      </c>
      <c r="C11" s="77">
        <v>7341.31</v>
      </c>
      <c r="D11" s="78"/>
      <c r="E11" s="77">
        <v>8075.17</v>
      </c>
      <c r="F11" s="78"/>
      <c r="G11" s="77">
        <v>8892.0300000000007</v>
      </c>
      <c r="H11" s="77"/>
      <c r="I11" s="77">
        <v>2300</v>
      </c>
      <c r="J11" s="77"/>
      <c r="K11" s="77">
        <v>2300</v>
      </c>
      <c r="L11" s="77"/>
      <c r="M11" s="77">
        <v>1772.2</v>
      </c>
      <c r="N11" s="77"/>
      <c r="O11" s="77">
        <v>0</v>
      </c>
      <c r="P11" s="77"/>
      <c r="Q11" s="77">
        <f t="shared" si="0"/>
        <v>1772.2</v>
      </c>
      <c r="R11" s="77"/>
      <c r="S11" s="77">
        <v>0</v>
      </c>
      <c r="T11" s="77"/>
      <c r="U11" s="77">
        <v>0</v>
      </c>
      <c r="V11" s="77"/>
      <c r="W11" s="77">
        <v>0</v>
      </c>
      <c r="X11" s="77"/>
      <c r="Y11" s="77">
        <f t="shared" si="1"/>
        <v>-2300</v>
      </c>
      <c r="Z11" s="57"/>
      <c r="AA11" s="58" t="str">
        <f t="shared" si="3"/>
        <v>N/A</v>
      </c>
      <c r="AB11" s="57"/>
      <c r="AC11" s="77">
        <f t="shared" si="2"/>
        <v>-1772.2</v>
      </c>
      <c r="AD11" s="57"/>
      <c r="AE11" s="58" t="str">
        <f t="shared" si="4"/>
        <v>N/A</v>
      </c>
      <c r="AF11" s="57"/>
      <c r="AH11" s="57"/>
      <c r="AI11" s="57"/>
      <c r="AJ11" s="57"/>
    </row>
    <row r="12" spans="1:36" x14ac:dyDescent="0.2">
      <c r="A12" s="59" t="s">
        <v>717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12350</v>
      </c>
      <c r="J12" s="79"/>
      <c r="K12" s="79">
        <v>12350</v>
      </c>
      <c r="L12" s="79"/>
      <c r="M12" s="79">
        <v>12859.02</v>
      </c>
      <c r="N12" s="79"/>
      <c r="O12" s="79">
        <f>PRODUCT(M12,0/9)</f>
        <v>0</v>
      </c>
      <c r="P12" s="79"/>
      <c r="Q12" s="79">
        <f t="shared" si="0"/>
        <v>12859.02</v>
      </c>
      <c r="R12" s="79"/>
      <c r="S12" s="79">
        <v>19000</v>
      </c>
      <c r="T12" s="79"/>
      <c r="U12" s="79">
        <v>19000</v>
      </c>
      <c r="V12" s="79"/>
      <c r="W12" s="79">
        <v>19000</v>
      </c>
      <c r="X12" s="79"/>
      <c r="Y12" s="79">
        <f t="shared" si="1"/>
        <v>6650</v>
      </c>
      <c r="Z12" s="62"/>
      <c r="AA12" s="63">
        <f t="shared" si="3"/>
        <v>0.53846153846153844</v>
      </c>
      <c r="AB12" s="62"/>
      <c r="AC12" s="79">
        <f t="shared" si="2"/>
        <v>6140.98</v>
      </c>
      <c r="AD12" s="62"/>
      <c r="AE12" s="63">
        <f t="shared" si="4"/>
        <v>0.47756205371793492</v>
      </c>
      <c r="AF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224335.27</v>
      </c>
      <c r="D13" s="78"/>
      <c r="E13" s="81">
        <f>SUM(E6:E12)</f>
        <v>236112.88000000003</v>
      </c>
      <c r="F13" s="78"/>
      <c r="G13" s="81">
        <f>SUM(G6:G12)</f>
        <v>244724.26</v>
      </c>
      <c r="H13" s="77"/>
      <c r="I13" s="81">
        <f>SUM(I6:I12)</f>
        <v>253250</v>
      </c>
      <c r="J13" s="77"/>
      <c r="K13" s="81">
        <f>SUM(K6:K12)</f>
        <v>253250</v>
      </c>
      <c r="L13" s="77"/>
      <c r="M13" s="81">
        <f>SUM(M6:M12)</f>
        <v>257109.56</v>
      </c>
      <c r="N13" s="77"/>
      <c r="O13" s="81">
        <f>SUM(O6:O12)</f>
        <v>0</v>
      </c>
      <c r="P13" s="77"/>
      <c r="Q13" s="81">
        <f>SUM(Q6:Q12)</f>
        <v>257109.56</v>
      </c>
      <c r="R13" s="77"/>
      <c r="S13" s="81">
        <f>SUM(S6:S12)</f>
        <v>268750</v>
      </c>
      <c r="T13" s="77"/>
      <c r="U13" s="81">
        <f>SUM(U6:U12)</f>
        <v>268750</v>
      </c>
      <c r="V13" s="77"/>
      <c r="W13" s="81">
        <f>SUM(W6:W12)</f>
        <v>269750</v>
      </c>
      <c r="X13" s="77"/>
      <c r="Y13" s="81">
        <f>SUM(Y6:Y12)</f>
        <v>16500</v>
      </c>
      <c r="Z13" s="57"/>
      <c r="AA13" s="65">
        <f t="shared" si="3"/>
        <v>6.5153010858835139E-2</v>
      </c>
      <c r="AB13" s="57"/>
      <c r="AC13" s="81">
        <f>SUM(AC6:AC12)</f>
        <v>12640.439999999988</v>
      </c>
      <c r="AD13" s="57"/>
      <c r="AE13" s="65">
        <f t="shared" si="4"/>
        <v>4.9163632810853043E-2</v>
      </c>
      <c r="AF13" s="57"/>
      <c r="AH13" s="57"/>
      <c r="AI13" s="57"/>
      <c r="AJ13" s="57"/>
    </row>
    <row r="14" spans="1:36" x14ac:dyDescent="0.2">
      <c r="C14" s="77"/>
      <c r="D14" s="78"/>
      <c r="E14" s="77"/>
      <c r="F14" s="78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57"/>
      <c r="AA14" s="58"/>
      <c r="AB14" s="57"/>
      <c r="AC14" s="77"/>
      <c r="AD14" s="57"/>
      <c r="AE14" s="58"/>
      <c r="AF14" s="57"/>
      <c r="AH14" s="57"/>
      <c r="AI14" s="57"/>
      <c r="AJ14" s="57"/>
    </row>
    <row r="15" spans="1:36" x14ac:dyDescent="0.2">
      <c r="A15" s="54" t="s">
        <v>48</v>
      </c>
      <c r="C15" s="77"/>
      <c r="D15" s="78"/>
      <c r="E15" s="77"/>
      <c r="F15" s="78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57"/>
      <c r="AA15" s="58"/>
      <c r="AB15" s="57"/>
      <c r="AC15" s="77"/>
      <c r="AD15" s="57"/>
      <c r="AE15" s="58"/>
      <c r="AF15" s="57"/>
      <c r="AH15" s="57"/>
      <c r="AI15" s="57"/>
      <c r="AJ15" s="57"/>
    </row>
    <row r="16" spans="1:36" x14ac:dyDescent="0.2">
      <c r="A16" s="55" t="s">
        <v>718</v>
      </c>
      <c r="B16" s="56" t="s">
        <v>493</v>
      </c>
      <c r="C16" s="77">
        <v>0</v>
      </c>
      <c r="D16" s="78"/>
      <c r="E16" s="77">
        <v>5000</v>
      </c>
      <c r="F16" s="78"/>
      <c r="G16" s="77">
        <v>5000</v>
      </c>
      <c r="H16" s="77"/>
      <c r="I16" s="77">
        <v>10000</v>
      </c>
      <c r="J16" s="77"/>
      <c r="K16" s="77">
        <v>10000</v>
      </c>
      <c r="L16" s="77"/>
      <c r="M16" s="77">
        <v>0</v>
      </c>
      <c r="N16" s="77"/>
      <c r="O16" s="77">
        <f>PRODUCT(M16,0/12)</f>
        <v>0</v>
      </c>
      <c r="P16" s="77"/>
      <c r="Q16" s="77">
        <f>SUM(M16,O16)</f>
        <v>0</v>
      </c>
      <c r="R16" s="77"/>
      <c r="S16" s="77">
        <v>8000</v>
      </c>
      <c r="T16" s="77"/>
      <c r="U16" s="77">
        <v>15000</v>
      </c>
      <c r="V16" s="77"/>
      <c r="W16" s="77">
        <v>25000</v>
      </c>
      <c r="X16" s="77"/>
      <c r="Y16" s="77">
        <f>SUM(W16,-I16)</f>
        <v>15000</v>
      </c>
      <c r="Z16" s="57"/>
      <c r="AA16" s="58">
        <f>IF(W16=0,"N/A",PRODUCT(Y16,1/I16))</f>
        <v>1.5</v>
      </c>
      <c r="AB16" s="57"/>
      <c r="AC16" s="77">
        <f>SUM(W16,-Q16)</f>
        <v>25000</v>
      </c>
      <c r="AD16" s="57"/>
      <c r="AE16" s="58" t="e">
        <f>IF(W16=0,"N/A",PRODUCT(AC16,1/Q16))</f>
        <v>#DIV/0!</v>
      </c>
      <c r="AF16" s="57"/>
      <c r="AG16" s="56" t="s">
        <v>1106</v>
      </c>
      <c r="AH16" s="57"/>
      <c r="AI16" s="57"/>
      <c r="AJ16" s="57"/>
    </row>
    <row r="17" spans="1:36" x14ac:dyDescent="0.2">
      <c r="A17" s="59" t="s">
        <v>719</v>
      </c>
      <c r="B17" s="60" t="s">
        <v>325</v>
      </c>
      <c r="C17" s="79">
        <v>0</v>
      </c>
      <c r="D17" s="80"/>
      <c r="E17" s="79">
        <v>2585.15</v>
      </c>
      <c r="F17" s="80"/>
      <c r="G17" s="79">
        <v>8846.7099999999991</v>
      </c>
      <c r="H17" s="79"/>
      <c r="I17" s="79">
        <v>12000</v>
      </c>
      <c r="J17" s="79"/>
      <c r="K17" s="79">
        <v>12000</v>
      </c>
      <c r="L17" s="79"/>
      <c r="M17" s="79">
        <v>5385.78</v>
      </c>
      <c r="N17" s="79"/>
      <c r="O17" s="79">
        <f>PRODUCT(M17,0/12)</f>
        <v>0</v>
      </c>
      <c r="P17" s="79"/>
      <c r="Q17" s="79">
        <f>SUM(M17,O17)</f>
        <v>5385.78</v>
      </c>
      <c r="R17" s="79"/>
      <c r="S17" s="79">
        <v>10000</v>
      </c>
      <c r="T17" s="79"/>
      <c r="U17" s="79">
        <v>12000</v>
      </c>
      <c r="V17" s="79"/>
      <c r="W17" s="79">
        <v>12000</v>
      </c>
      <c r="X17" s="79"/>
      <c r="Y17" s="79">
        <f>SUM(W17,-I17)</f>
        <v>0</v>
      </c>
      <c r="Z17" s="62"/>
      <c r="AA17" s="63">
        <f>IF(W17=0,"N/A",PRODUCT(Y17,1/I17))</f>
        <v>0</v>
      </c>
      <c r="AB17" s="62"/>
      <c r="AC17" s="79">
        <f>SUM(W17,-Q17)</f>
        <v>6614.22</v>
      </c>
      <c r="AD17" s="62"/>
      <c r="AE17" s="63">
        <f>IF(W17=0,"N/A",PRODUCT(AC17,1/Q17))</f>
        <v>1.2280895246371</v>
      </c>
      <c r="AF17" s="57"/>
      <c r="AH17" s="57"/>
      <c r="AI17" s="57"/>
      <c r="AJ17" s="57"/>
    </row>
    <row r="18" spans="1:36" x14ac:dyDescent="0.2">
      <c r="A18" s="55" t="s">
        <v>720</v>
      </c>
      <c r="B18" s="56" t="s">
        <v>327</v>
      </c>
      <c r="C18" s="77">
        <v>0</v>
      </c>
      <c r="D18" s="78"/>
      <c r="E18" s="77">
        <v>2416.36</v>
      </c>
      <c r="F18" s="78"/>
      <c r="G18" s="77">
        <v>438.41</v>
      </c>
      <c r="H18" s="77"/>
      <c r="I18" s="77">
        <v>2000</v>
      </c>
      <c r="J18" s="77"/>
      <c r="K18" s="77">
        <v>2000</v>
      </c>
      <c r="L18" s="77"/>
      <c r="M18" s="77">
        <v>59</v>
      </c>
      <c r="N18" s="77"/>
      <c r="O18" s="77">
        <f>PRODUCT(M18,0/12)</f>
        <v>0</v>
      </c>
      <c r="P18" s="77"/>
      <c r="Q18" s="77">
        <f>SUM(M18,O18)</f>
        <v>59</v>
      </c>
      <c r="R18" s="77"/>
      <c r="S18" s="77">
        <v>2000</v>
      </c>
      <c r="T18" s="77"/>
      <c r="U18" s="77">
        <v>2000</v>
      </c>
      <c r="V18" s="77"/>
      <c r="W18" s="77">
        <v>3000</v>
      </c>
      <c r="X18" s="77"/>
      <c r="Y18" s="77">
        <f>SUM(W18,-I18)</f>
        <v>1000</v>
      </c>
      <c r="Z18" s="57"/>
      <c r="AA18" s="58">
        <f>IF(W18=0,"N/A",PRODUCT(Y18,1/I18))</f>
        <v>0.5</v>
      </c>
      <c r="AB18" s="57"/>
      <c r="AC18" s="77">
        <f>SUM(W18,-Q18)</f>
        <v>2941</v>
      </c>
      <c r="AD18" s="57"/>
      <c r="AE18" s="58">
        <f>IF(W18=0,"N/A",PRODUCT(AC18,1/Q18))</f>
        <v>49.847457627118644</v>
      </c>
      <c r="AF18" s="57"/>
      <c r="AG18" s="56" t="s">
        <v>1105</v>
      </c>
      <c r="AH18" s="57"/>
      <c r="AI18" s="57"/>
      <c r="AJ18" s="57"/>
    </row>
    <row r="19" spans="1:36" x14ac:dyDescent="0.2">
      <c r="A19" s="59" t="s">
        <v>721</v>
      </c>
      <c r="B19" s="60" t="s">
        <v>328</v>
      </c>
      <c r="C19" s="79">
        <v>0</v>
      </c>
      <c r="D19" s="80"/>
      <c r="E19" s="79">
        <v>1091.1300000000001</v>
      </c>
      <c r="F19" s="80"/>
      <c r="G19" s="79">
        <v>3253.77</v>
      </c>
      <c r="H19" s="79"/>
      <c r="I19" s="79">
        <v>8000</v>
      </c>
      <c r="J19" s="79"/>
      <c r="K19" s="79">
        <v>8000</v>
      </c>
      <c r="L19" s="79"/>
      <c r="M19" s="79">
        <v>2167.9299999999998</v>
      </c>
      <c r="N19" s="79"/>
      <c r="O19" s="79">
        <f>PRODUCT(M19,0/12)</f>
        <v>0</v>
      </c>
      <c r="P19" s="79"/>
      <c r="Q19" s="79">
        <f>SUM(M19,O19)</f>
        <v>2167.9299999999998</v>
      </c>
      <c r="R19" s="79"/>
      <c r="S19" s="79">
        <v>4500</v>
      </c>
      <c r="T19" s="79"/>
      <c r="U19" s="79">
        <v>8000</v>
      </c>
      <c r="V19" s="79"/>
      <c r="W19" s="79">
        <v>8000</v>
      </c>
      <c r="X19" s="79"/>
      <c r="Y19" s="79">
        <f>SUM(W19,-I19)</f>
        <v>0</v>
      </c>
      <c r="Z19" s="62"/>
      <c r="AA19" s="63">
        <f>IF(W19=0,"N/A",PRODUCT(Y19,1/I19))</f>
        <v>0</v>
      </c>
      <c r="AB19" s="62"/>
      <c r="AC19" s="79">
        <f>SUM(W19,-Q19)</f>
        <v>5832.07</v>
      </c>
      <c r="AD19" s="62"/>
      <c r="AE19" s="63">
        <f>IF(W19=0,"N/A",PRODUCT(AC19,1/Q19))</f>
        <v>2.6901560474738577</v>
      </c>
      <c r="AF19" s="57"/>
      <c r="AH19" s="57"/>
      <c r="AI19" s="57"/>
      <c r="AJ19" s="57"/>
    </row>
    <row r="20" spans="1:36" x14ac:dyDescent="0.2">
      <c r="A20" s="64" t="s">
        <v>49</v>
      </c>
      <c r="C20" s="81">
        <f>SUM(C16:C19)</f>
        <v>0</v>
      </c>
      <c r="D20" s="78"/>
      <c r="E20" s="81">
        <f>SUM(E16:E19)</f>
        <v>11092.64</v>
      </c>
      <c r="F20" s="78"/>
      <c r="G20" s="81">
        <f>SUM(G16:G19)</f>
        <v>17538.89</v>
      </c>
      <c r="H20" s="77"/>
      <c r="I20" s="81">
        <f>SUM(I16:I19)</f>
        <v>32000</v>
      </c>
      <c r="J20" s="77"/>
      <c r="K20" s="81">
        <f>SUM(K16:K19)</f>
        <v>32000</v>
      </c>
      <c r="L20" s="77"/>
      <c r="M20" s="81">
        <f>SUM(M16:M19)</f>
        <v>7612.7099999999991</v>
      </c>
      <c r="N20" s="77"/>
      <c r="O20" s="81">
        <f>SUM(O16:O19)</f>
        <v>0</v>
      </c>
      <c r="P20" s="77"/>
      <c r="Q20" s="81">
        <f>SUM(Q16:Q19)</f>
        <v>7612.7099999999991</v>
      </c>
      <c r="R20" s="77"/>
      <c r="S20" s="81">
        <f>SUM(S16:S19)</f>
        <v>24500</v>
      </c>
      <c r="T20" s="77"/>
      <c r="U20" s="81">
        <f>SUM(U16:U19)</f>
        <v>37000</v>
      </c>
      <c r="V20" s="77"/>
      <c r="W20" s="81">
        <f>SUM(W16:W19)</f>
        <v>48000</v>
      </c>
      <c r="X20" s="77"/>
      <c r="Y20" s="81">
        <f>SUM(Y16:Y19)</f>
        <v>16000</v>
      </c>
      <c r="Z20" s="57"/>
      <c r="AA20" s="65">
        <f>IF(W20=0,"N/A",PRODUCT(Y20,1/I20))</f>
        <v>0.5</v>
      </c>
      <c r="AB20" s="57"/>
      <c r="AC20" s="81">
        <f>SUM(AC16:AC19)</f>
        <v>40387.29</v>
      </c>
      <c r="AD20" s="57"/>
      <c r="AE20" s="65">
        <f>IF(W20=0,"N/A",PRODUCT(AC20,1/Q20))</f>
        <v>5.305244781424749</v>
      </c>
      <c r="AF20" s="57"/>
      <c r="AH20" s="57"/>
      <c r="AI20" s="57"/>
      <c r="AJ20" s="57"/>
    </row>
    <row r="21" spans="1:36" x14ac:dyDescent="0.2">
      <c r="C21" s="77"/>
      <c r="D21" s="78"/>
      <c r="E21" s="77"/>
      <c r="F21" s="78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57"/>
      <c r="AA21" s="58"/>
      <c r="AB21" s="57"/>
      <c r="AC21" s="77"/>
      <c r="AD21" s="57"/>
      <c r="AE21" s="58"/>
      <c r="AF21" s="57"/>
      <c r="AH21" s="57"/>
      <c r="AI21" s="57"/>
      <c r="AJ21" s="57"/>
    </row>
    <row r="22" spans="1:36" x14ac:dyDescent="0.2">
      <c r="A22" s="54" t="s">
        <v>65</v>
      </c>
      <c r="C22" s="77"/>
      <c r="D22" s="78"/>
      <c r="E22" s="77"/>
      <c r="F22" s="78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57"/>
      <c r="AA22" s="58"/>
      <c r="AB22" s="57"/>
      <c r="AC22" s="77"/>
      <c r="AD22" s="57"/>
      <c r="AE22" s="58"/>
      <c r="AF22" s="57"/>
      <c r="AH22" s="57"/>
      <c r="AI22" s="57"/>
      <c r="AJ22" s="57"/>
    </row>
    <row r="23" spans="1:36" x14ac:dyDescent="0.2">
      <c r="A23" s="55" t="s">
        <v>722</v>
      </c>
      <c r="B23" s="56" t="s">
        <v>342</v>
      </c>
      <c r="C23" s="77">
        <v>0</v>
      </c>
      <c r="D23" s="78"/>
      <c r="E23" s="77">
        <v>0</v>
      </c>
      <c r="F23" s="78"/>
      <c r="G23" s="77">
        <v>0</v>
      </c>
      <c r="H23" s="77"/>
      <c r="I23" s="77">
        <v>5000</v>
      </c>
      <c r="J23" s="77"/>
      <c r="K23" s="77">
        <v>5000</v>
      </c>
      <c r="L23" s="77"/>
      <c r="M23" s="77">
        <v>0</v>
      </c>
      <c r="N23" s="77"/>
      <c r="O23" s="77">
        <f>PRODUCT(M23,0/12)</f>
        <v>0</v>
      </c>
      <c r="P23" s="77"/>
      <c r="Q23" s="77">
        <f>SUM(M23,O23)</f>
        <v>0</v>
      </c>
      <c r="R23" s="77"/>
      <c r="S23" s="77">
        <v>0</v>
      </c>
      <c r="T23" s="77"/>
      <c r="U23" s="77">
        <v>5000</v>
      </c>
      <c r="V23" s="77"/>
      <c r="W23" s="77">
        <v>5000</v>
      </c>
      <c r="X23" s="77"/>
      <c r="Y23" s="77">
        <f>SUM(W23,-I23)</f>
        <v>0</v>
      </c>
      <c r="Z23" s="57"/>
      <c r="AA23" s="58">
        <f>IF(W23=0,"N/A",PRODUCT(Y23,1/I23))</f>
        <v>0</v>
      </c>
      <c r="AB23" s="57"/>
      <c r="AC23" s="77">
        <f>SUM(W23,-Q23)</f>
        <v>5000</v>
      </c>
      <c r="AD23" s="57"/>
      <c r="AE23" s="58" t="e">
        <f>IF(W23=0,"N/A",PRODUCT(AC23,1/Q23))</f>
        <v>#DIV/0!</v>
      </c>
      <c r="AF23" s="57"/>
      <c r="AH23" s="57"/>
      <c r="AI23" s="57"/>
      <c r="AJ23" s="57"/>
    </row>
    <row r="24" spans="1:36" x14ac:dyDescent="0.2">
      <c r="A24" s="59" t="s">
        <v>723</v>
      </c>
      <c r="B24" s="60" t="s">
        <v>445</v>
      </c>
      <c r="C24" s="79">
        <v>0</v>
      </c>
      <c r="D24" s="80"/>
      <c r="E24" s="79">
        <v>0</v>
      </c>
      <c r="F24" s="80"/>
      <c r="G24" s="79">
        <v>1701</v>
      </c>
      <c r="H24" s="79"/>
      <c r="I24" s="79">
        <v>6500</v>
      </c>
      <c r="J24" s="79"/>
      <c r="K24" s="79">
        <v>6500</v>
      </c>
      <c r="L24" s="79"/>
      <c r="M24" s="79">
        <v>1615.42</v>
      </c>
      <c r="N24" s="79"/>
      <c r="O24" s="79">
        <f>PRODUCT(M24,0/12)</f>
        <v>0</v>
      </c>
      <c r="P24" s="79"/>
      <c r="Q24" s="79">
        <f>SUM(M24,O24)</f>
        <v>1615.42</v>
      </c>
      <c r="R24" s="79"/>
      <c r="S24" s="79">
        <v>3000</v>
      </c>
      <c r="T24" s="79"/>
      <c r="U24" s="79">
        <v>6500</v>
      </c>
      <c r="V24" s="79"/>
      <c r="W24" s="79">
        <v>6500</v>
      </c>
      <c r="X24" s="79"/>
      <c r="Y24" s="79">
        <f>SUM(W24,-I24)</f>
        <v>0</v>
      </c>
      <c r="Z24" s="62"/>
      <c r="AA24" s="63">
        <f>IF(W24=0,"N/A",PRODUCT(Y24,1/I24))</f>
        <v>0</v>
      </c>
      <c r="AB24" s="62"/>
      <c r="AC24" s="79">
        <f>SUM(W24,-Q24)</f>
        <v>4884.58</v>
      </c>
      <c r="AD24" s="62"/>
      <c r="AE24" s="63">
        <f>IF(W24=0,"N/A",PRODUCT(AC24,1/Q24))</f>
        <v>3.0237213851506111</v>
      </c>
      <c r="AF24" s="57"/>
      <c r="AH24" s="57"/>
      <c r="AI24" s="57"/>
      <c r="AJ24" s="57"/>
    </row>
    <row r="25" spans="1:36" x14ac:dyDescent="0.2">
      <c r="A25" s="64" t="s">
        <v>66</v>
      </c>
      <c r="C25" s="81">
        <f>SUM(C23:C24)</f>
        <v>0</v>
      </c>
      <c r="D25" s="78"/>
      <c r="E25" s="81">
        <f>SUM(E23:E24)</f>
        <v>0</v>
      </c>
      <c r="F25" s="78"/>
      <c r="G25" s="81">
        <f>SUM(G23:G24)</f>
        <v>1701</v>
      </c>
      <c r="H25" s="77"/>
      <c r="I25" s="81">
        <f>SUM(I23:I24)</f>
        <v>11500</v>
      </c>
      <c r="J25" s="77"/>
      <c r="K25" s="81">
        <f>SUM(K23:K24)</f>
        <v>11500</v>
      </c>
      <c r="L25" s="77"/>
      <c r="M25" s="81">
        <f>SUM(M23:M24)</f>
        <v>1615.42</v>
      </c>
      <c r="N25" s="77"/>
      <c r="O25" s="81">
        <f>SUM(O23:O24)</f>
        <v>0</v>
      </c>
      <c r="P25" s="77"/>
      <c r="Q25" s="81">
        <f>SUM(Q23:Q24)</f>
        <v>1615.42</v>
      </c>
      <c r="R25" s="77"/>
      <c r="S25" s="81">
        <f>SUM(S23:S24)</f>
        <v>3000</v>
      </c>
      <c r="T25" s="77"/>
      <c r="U25" s="81">
        <f>SUM(U23:U24)</f>
        <v>11500</v>
      </c>
      <c r="V25" s="77"/>
      <c r="W25" s="81">
        <f>SUM(W23:W24)</f>
        <v>11500</v>
      </c>
      <c r="X25" s="77"/>
      <c r="Y25" s="81">
        <f>SUM(Y23:Y24)</f>
        <v>0</v>
      </c>
      <c r="Z25" s="57"/>
      <c r="AA25" s="65">
        <f>IF(W25=0,"N/A",PRODUCT(Y25,1/I25))</f>
        <v>0</v>
      </c>
      <c r="AB25" s="57"/>
      <c r="AC25" s="81">
        <f>SUM(AC23:AC24)</f>
        <v>9884.58</v>
      </c>
      <c r="AD25" s="57"/>
      <c r="AE25" s="65">
        <f>IF(W25=0,"N/A",PRODUCT(AC25,1/Q25))</f>
        <v>6.1188916814203118</v>
      </c>
      <c r="AF25" s="57"/>
      <c r="AH25" s="57"/>
      <c r="AI25" s="57"/>
      <c r="AJ25" s="57"/>
    </row>
    <row r="26" spans="1:36" x14ac:dyDescent="0.2">
      <c r="C26" s="77"/>
      <c r="D26" s="78"/>
      <c r="E26" s="77"/>
      <c r="F26" s="78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57"/>
      <c r="AA26" s="58"/>
      <c r="AB26" s="57"/>
      <c r="AC26" s="77"/>
      <c r="AD26" s="57"/>
      <c r="AE26" s="58"/>
      <c r="AF26" s="57"/>
      <c r="AH26" s="57"/>
      <c r="AI26" s="57"/>
      <c r="AJ26" s="57"/>
    </row>
    <row r="27" spans="1:36" x14ac:dyDescent="0.2">
      <c r="A27" s="54" t="s">
        <v>69</v>
      </c>
      <c r="C27" s="77"/>
      <c r="D27" s="78"/>
      <c r="E27" s="77"/>
      <c r="F27" s="78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57"/>
      <c r="AA27" s="58"/>
      <c r="AB27" s="57"/>
      <c r="AC27" s="77"/>
      <c r="AD27" s="57"/>
      <c r="AE27" s="58"/>
      <c r="AF27" s="57"/>
      <c r="AH27" s="57"/>
      <c r="AI27" s="57"/>
      <c r="AJ27" s="57"/>
    </row>
    <row r="28" spans="1:36" x14ac:dyDescent="0.2">
      <c r="A28" s="59" t="s">
        <v>724</v>
      </c>
      <c r="B28" s="60" t="s">
        <v>347</v>
      </c>
      <c r="C28" s="79">
        <v>0</v>
      </c>
      <c r="D28" s="80"/>
      <c r="E28" s="79">
        <v>0</v>
      </c>
      <c r="F28" s="80"/>
      <c r="G28" s="79">
        <v>0</v>
      </c>
      <c r="H28" s="79"/>
      <c r="I28" s="79">
        <v>1500</v>
      </c>
      <c r="J28" s="79"/>
      <c r="K28" s="79">
        <v>1500</v>
      </c>
      <c r="L28" s="79"/>
      <c r="M28" s="79">
        <v>1192.33</v>
      </c>
      <c r="N28" s="79"/>
      <c r="O28" s="79">
        <f>PRODUCT(M28,0/12)</f>
        <v>0</v>
      </c>
      <c r="P28" s="79"/>
      <c r="Q28" s="79">
        <f>SUM(M28,O28)</f>
        <v>1192.33</v>
      </c>
      <c r="R28" s="79"/>
      <c r="S28" s="79">
        <v>1000</v>
      </c>
      <c r="T28" s="79"/>
      <c r="U28" s="79">
        <v>1500</v>
      </c>
      <c r="V28" s="79"/>
      <c r="W28" s="79">
        <v>1500</v>
      </c>
      <c r="X28" s="79"/>
      <c r="Y28" s="79">
        <f t="shared" ref="Y28:Y40" si="5">SUM(W28,-I28)</f>
        <v>0</v>
      </c>
      <c r="Z28" s="62"/>
      <c r="AA28" s="63">
        <f t="shared" ref="AA28:AA41" si="6">IF(W28=0,"N/A",PRODUCT(Y28,1/I28))</f>
        <v>0</v>
      </c>
      <c r="AB28" s="62"/>
      <c r="AC28" s="79">
        <f t="shared" ref="AC28:AC40" si="7">SUM(W28,-Q28)</f>
        <v>307.67000000000007</v>
      </c>
      <c r="AD28" s="62"/>
      <c r="AE28" s="63">
        <f t="shared" ref="AE28:AE41" si="8">IF(W28=0,"N/A",PRODUCT(AC28,1/Q28))</f>
        <v>0.25804097858814262</v>
      </c>
      <c r="AF28" s="57"/>
      <c r="AH28" s="57"/>
      <c r="AI28" s="57"/>
      <c r="AJ28" s="57"/>
    </row>
    <row r="29" spans="1:36" x14ac:dyDescent="0.2">
      <c r="A29" s="55" t="s">
        <v>725</v>
      </c>
      <c r="B29" s="56" t="s">
        <v>217</v>
      </c>
      <c r="C29" s="77">
        <v>0</v>
      </c>
      <c r="D29" s="78"/>
      <c r="E29" s="77">
        <v>624.34</v>
      </c>
      <c r="F29" s="78"/>
      <c r="G29" s="77">
        <v>525.70000000000005</v>
      </c>
      <c r="H29" s="77"/>
      <c r="I29" s="77">
        <v>2000</v>
      </c>
      <c r="J29" s="77"/>
      <c r="K29" s="77">
        <v>2000</v>
      </c>
      <c r="L29" s="77"/>
      <c r="M29" s="77">
        <v>785.14</v>
      </c>
      <c r="N29" s="77"/>
      <c r="O29" s="77">
        <f>PRODUCT(M29,0/12)</f>
        <v>0</v>
      </c>
      <c r="P29" s="77"/>
      <c r="Q29" s="77">
        <f>SUM(M29,O29)</f>
        <v>785.14</v>
      </c>
      <c r="R29" s="77"/>
      <c r="S29" s="77">
        <v>1000</v>
      </c>
      <c r="T29" s="77"/>
      <c r="U29" s="77">
        <v>1500</v>
      </c>
      <c r="V29" s="77"/>
      <c r="W29" s="77">
        <v>2000</v>
      </c>
      <c r="X29" s="77"/>
      <c r="Y29" s="77">
        <f t="shared" si="5"/>
        <v>0</v>
      </c>
      <c r="Z29" s="57"/>
      <c r="AA29" s="58">
        <f t="shared" si="6"/>
        <v>0</v>
      </c>
      <c r="AB29" s="57"/>
      <c r="AC29" s="77">
        <f t="shared" si="7"/>
        <v>1214.8600000000001</v>
      </c>
      <c r="AD29" s="57"/>
      <c r="AE29" s="58">
        <f t="shared" si="8"/>
        <v>1.5473164021703136</v>
      </c>
      <c r="AF29" s="57"/>
      <c r="AH29" s="57"/>
      <c r="AI29" s="57"/>
      <c r="AJ29" s="57"/>
    </row>
    <row r="30" spans="1:36" x14ac:dyDescent="0.2">
      <c r="A30" s="59" t="s">
        <v>726</v>
      </c>
      <c r="B30" s="60" t="s">
        <v>657</v>
      </c>
      <c r="C30" s="79">
        <v>5790</v>
      </c>
      <c r="D30" s="80"/>
      <c r="E30" s="79">
        <v>12550</v>
      </c>
      <c r="F30" s="80"/>
      <c r="G30" s="79">
        <v>10000</v>
      </c>
      <c r="H30" s="79"/>
      <c r="I30" s="79">
        <v>20000</v>
      </c>
      <c r="J30" s="79"/>
      <c r="K30" s="79">
        <v>20000</v>
      </c>
      <c r="L30" s="79"/>
      <c r="M30" s="79">
        <v>0</v>
      </c>
      <c r="N30" s="79"/>
      <c r="O30" s="79">
        <f>PRODUCT(M30,0/12)</f>
        <v>0</v>
      </c>
      <c r="P30" s="79"/>
      <c r="Q30" s="79">
        <f>SUM(M30,O30)</f>
        <v>0</v>
      </c>
      <c r="R30" s="79"/>
      <c r="S30" s="79">
        <v>20000</v>
      </c>
      <c r="T30" s="79"/>
      <c r="U30" s="79">
        <v>20000</v>
      </c>
      <c r="V30" s="79"/>
      <c r="W30" s="79">
        <v>50000</v>
      </c>
      <c r="X30" s="79"/>
      <c r="Y30" s="79">
        <f t="shared" si="5"/>
        <v>30000</v>
      </c>
      <c r="Z30" s="62"/>
      <c r="AA30" s="63">
        <f t="shared" si="6"/>
        <v>1.5</v>
      </c>
      <c r="AB30" s="62"/>
      <c r="AC30" s="79">
        <f t="shared" si="7"/>
        <v>50000</v>
      </c>
      <c r="AD30" s="62"/>
      <c r="AE30" s="63" t="e">
        <f t="shared" si="8"/>
        <v>#DIV/0!</v>
      </c>
      <c r="AF30" s="57"/>
      <c r="AG30" s="56" t="s">
        <v>1298</v>
      </c>
      <c r="AH30" s="57"/>
      <c r="AI30" s="57"/>
      <c r="AJ30" s="57"/>
    </row>
    <row r="31" spans="1:36" x14ac:dyDescent="0.2">
      <c r="A31" s="55" t="s">
        <v>727</v>
      </c>
      <c r="B31" s="56" t="s">
        <v>658</v>
      </c>
      <c r="C31" s="77">
        <v>45698.63</v>
      </c>
      <c r="D31" s="78"/>
      <c r="E31" s="77">
        <v>35700</v>
      </c>
      <c r="F31" s="78"/>
      <c r="G31" s="77">
        <v>91239.83</v>
      </c>
      <c r="H31" s="77"/>
      <c r="I31" s="77">
        <v>115000</v>
      </c>
      <c r="J31" s="77"/>
      <c r="K31" s="77">
        <v>1159100</v>
      </c>
      <c r="L31" s="77"/>
      <c r="M31" s="77">
        <v>1002556.9</v>
      </c>
      <c r="N31" s="77"/>
      <c r="O31" s="77">
        <v>0</v>
      </c>
      <c r="P31" s="77"/>
      <c r="Q31" s="77">
        <f t="shared" ref="Q31:Q40" si="9">SUM(M31,O31)</f>
        <v>1002556.9</v>
      </c>
      <c r="R31" s="77"/>
      <c r="S31" s="77">
        <v>105000</v>
      </c>
      <c r="T31" s="77"/>
      <c r="U31" s="77">
        <v>135000</v>
      </c>
      <c r="V31" s="77"/>
      <c r="W31" s="77">
        <v>135000</v>
      </c>
      <c r="X31" s="77"/>
      <c r="Y31" s="77">
        <f t="shared" si="5"/>
        <v>20000</v>
      </c>
      <c r="Z31" s="57"/>
      <c r="AA31" s="58">
        <f t="shared" si="6"/>
        <v>0.17391304347826086</v>
      </c>
      <c r="AB31" s="57"/>
      <c r="AC31" s="77">
        <f t="shared" si="7"/>
        <v>-867556.9</v>
      </c>
      <c r="AD31" s="57"/>
      <c r="AE31" s="58">
        <f t="shared" si="8"/>
        <v>-0.86534430115637329</v>
      </c>
      <c r="AF31" s="57"/>
      <c r="AG31" s="56" t="s">
        <v>1438</v>
      </c>
      <c r="AH31" s="57"/>
      <c r="AI31" s="57"/>
      <c r="AJ31" s="57"/>
    </row>
    <row r="32" spans="1:36" x14ac:dyDescent="0.2">
      <c r="A32" s="59" t="s">
        <v>728</v>
      </c>
      <c r="B32" s="60" t="s">
        <v>659</v>
      </c>
      <c r="C32" s="79">
        <v>39704.33</v>
      </c>
      <c r="D32" s="80"/>
      <c r="E32" s="79">
        <v>27300</v>
      </c>
      <c r="F32" s="80"/>
      <c r="G32" s="79">
        <v>51155.38</v>
      </c>
      <c r="H32" s="79"/>
      <c r="I32" s="79">
        <v>85000</v>
      </c>
      <c r="J32" s="79"/>
      <c r="K32" s="79">
        <v>85000</v>
      </c>
      <c r="L32" s="79"/>
      <c r="M32" s="79">
        <v>66255.55</v>
      </c>
      <c r="N32" s="79"/>
      <c r="O32" s="79">
        <f t="shared" ref="O32:O37" si="10">PRODUCT(M32,0/12)</f>
        <v>0</v>
      </c>
      <c r="P32" s="79"/>
      <c r="Q32" s="79">
        <f t="shared" si="9"/>
        <v>66255.55</v>
      </c>
      <c r="R32" s="79"/>
      <c r="S32" s="79">
        <v>75000</v>
      </c>
      <c r="T32" s="79"/>
      <c r="U32" s="79">
        <v>90000</v>
      </c>
      <c r="V32" s="79"/>
      <c r="W32" s="79">
        <v>90000</v>
      </c>
      <c r="X32" s="79"/>
      <c r="Y32" s="79">
        <f t="shared" si="5"/>
        <v>5000</v>
      </c>
      <c r="Z32" s="62"/>
      <c r="AA32" s="63">
        <f t="shared" si="6"/>
        <v>5.8823529411764712E-2</v>
      </c>
      <c r="AB32" s="62"/>
      <c r="AC32" s="79">
        <f t="shared" si="7"/>
        <v>23744.449999999997</v>
      </c>
      <c r="AD32" s="62"/>
      <c r="AE32" s="63">
        <f t="shared" si="8"/>
        <v>0.35837676994606482</v>
      </c>
      <c r="AF32" s="57"/>
      <c r="AH32" s="57"/>
      <c r="AI32" s="57"/>
      <c r="AJ32" s="57"/>
    </row>
    <row r="33" spans="1:36" x14ac:dyDescent="0.2">
      <c r="A33" s="55" t="s">
        <v>729</v>
      </c>
      <c r="B33" s="56" t="s">
        <v>660</v>
      </c>
      <c r="C33" s="77">
        <v>0</v>
      </c>
      <c r="D33" s="78"/>
      <c r="E33" s="77">
        <v>5650</v>
      </c>
      <c r="F33" s="78"/>
      <c r="G33" s="77">
        <v>25065.03</v>
      </c>
      <c r="H33" s="77"/>
      <c r="I33" s="77">
        <v>20000</v>
      </c>
      <c r="J33" s="77"/>
      <c r="K33" s="77">
        <v>20000</v>
      </c>
      <c r="L33" s="77"/>
      <c r="M33" s="77">
        <v>22607.119999999999</v>
      </c>
      <c r="N33" s="77"/>
      <c r="O33" s="77">
        <f t="shared" si="10"/>
        <v>0</v>
      </c>
      <c r="P33" s="77"/>
      <c r="Q33" s="77">
        <f t="shared" si="9"/>
        <v>22607.119999999999</v>
      </c>
      <c r="R33" s="77"/>
      <c r="S33" s="77">
        <v>20000</v>
      </c>
      <c r="T33" s="77"/>
      <c r="U33" s="77">
        <v>20000</v>
      </c>
      <c r="V33" s="77"/>
      <c r="W33" s="77">
        <v>20000</v>
      </c>
      <c r="X33" s="77"/>
      <c r="Y33" s="77">
        <f t="shared" si="5"/>
        <v>0</v>
      </c>
      <c r="Z33" s="57"/>
      <c r="AA33" s="58">
        <f t="shared" si="6"/>
        <v>0</v>
      </c>
      <c r="AB33" s="57"/>
      <c r="AC33" s="77">
        <f t="shared" si="7"/>
        <v>-2607.119999999999</v>
      </c>
      <c r="AD33" s="57"/>
      <c r="AE33" s="58">
        <f t="shared" si="8"/>
        <v>-0.11532296020014929</v>
      </c>
      <c r="AF33" s="57"/>
      <c r="AH33" s="57"/>
      <c r="AI33" s="57"/>
      <c r="AJ33" s="57"/>
    </row>
    <row r="34" spans="1:36" x14ac:dyDescent="0.2">
      <c r="A34" s="59" t="s">
        <v>730</v>
      </c>
      <c r="B34" s="60" t="s">
        <v>661</v>
      </c>
      <c r="C34" s="79">
        <v>2923</v>
      </c>
      <c r="D34" s="80"/>
      <c r="E34" s="79">
        <v>1356</v>
      </c>
      <c r="F34" s="80"/>
      <c r="G34" s="79">
        <v>390</v>
      </c>
      <c r="H34" s="79"/>
      <c r="I34" s="79">
        <v>10000</v>
      </c>
      <c r="J34" s="79"/>
      <c r="K34" s="79">
        <v>10000</v>
      </c>
      <c r="L34" s="79"/>
      <c r="M34" s="79">
        <v>8990</v>
      </c>
      <c r="N34" s="79"/>
      <c r="O34" s="79">
        <f t="shared" si="10"/>
        <v>0</v>
      </c>
      <c r="P34" s="79"/>
      <c r="Q34" s="79">
        <f t="shared" si="9"/>
        <v>8990</v>
      </c>
      <c r="R34" s="79"/>
      <c r="S34" s="79">
        <v>7500</v>
      </c>
      <c r="T34" s="79"/>
      <c r="U34" s="79">
        <v>10000</v>
      </c>
      <c r="V34" s="79"/>
      <c r="W34" s="79">
        <v>10000</v>
      </c>
      <c r="X34" s="79"/>
      <c r="Y34" s="79">
        <f t="shared" si="5"/>
        <v>0</v>
      </c>
      <c r="Z34" s="62"/>
      <c r="AA34" s="63">
        <f t="shared" si="6"/>
        <v>0</v>
      </c>
      <c r="AB34" s="62"/>
      <c r="AC34" s="79">
        <f t="shared" si="7"/>
        <v>1010</v>
      </c>
      <c r="AD34" s="62"/>
      <c r="AE34" s="63">
        <f t="shared" si="8"/>
        <v>0.11234705228031146</v>
      </c>
      <c r="AF34" s="57"/>
      <c r="AH34" s="57"/>
      <c r="AI34" s="57"/>
      <c r="AJ34" s="57"/>
    </row>
    <row r="35" spans="1:36" x14ac:dyDescent="0.2">
      <c r="A35" s="55" t="s">
        <v>731</v>
      </c>
      <c r="B35" s="56" t="s">
        <v>662</v>
      </c>
      <c r="C35" s="77">
        <v>1693.08</v>
      </c>
      <c r="D35" s="78"/>
      <c r="E35" s="77">
        <v>8752.48</v>
      </c>
      <c r="F35" s="78"/>
      <c r="G35" s="77">
        <v>11190.7</v>
      </c>
      <c r="H35" s="77"/>
      <c r="I35" s="77">
        <v>15000</v>
      </c>
      <c r="J35" s="77"/>
      <c r="K35" s="77">
        <v>15000</v>
      </c>
      <c r="L35" s="77"/>
      <c r="M35" s="77">
        <v>10895.84</v>
      </c>
      <c r="N35" s="77"/>
      <c r="O35" s="77">
        <f t="shared" si="10"/>
        <v>0</v>
      </c>
      <c r="P35" s="77"/>
      <c r="Q35" s="77">
        <f t="shared" si="9"/>
        <v>10895.84</v>
      </c>
      <c r="R35" s="77"/>
      <c r="S35" s="77">
        <v>12500</v>
      </c>
      <c r="T35" s="77"/>
      <c r="U35" s="77">
        <v>15000</v>
      </c>
      <c r="V35" s="77"/>
      <c r="W35" s="77">
        <v>15000</v>
      </c>
      <c r="X35" s="77"/>
      <c r="Y35" s="77">
        <f t="shared" si="5"/>
        <v>0</v>
      </c>
      <c r="Z35" s="57"/>
      <c r="AA35" s="58">
        <f t="shared" si="6"/>
        <v>0</v>
      </c>
      <c r="AB35" s="57"/>
      <c r="AC35" s="77">
        <f t="shared" si="7"/>
        <v>4104.16</v>
      </c>
      <c r="AD35" s="57"/>
      <c r="AE35" s="58">
        <f t="shared" si="8"/>
        <v>0.37667219782963035</v>
      </c>
      <c r="AF35" s="57"/>
      <c r="AH35" s="57"/>
      <c r="AI35" s="57"/>
      <c r="AJ35" s="57"/>
    </row>
    <row r="36" spans="1:36" x14ac:dyDescent="0.2">
      <c r="A36" s="59" t="s">
        <v>732</v>
      </c>
      <c r="B36" s="60" t="s">
        <v>663</v>
      </c>
      <c r="C36" s="79">
        <v>44920</v>
      </c>
      <c r="D36" s="80"/>
      <c r="E36" s="79">
        <v>40800</v>
      </c>
      <c r="F36" s="80"/>
      <c r="G36" s="79">
        <v>40800</v>
      </c>
      <c r="H36" s="79"/>
      <c r="I36" s="79">
        <v>55000</v>
      </c>
      <c r="J36" s="79"/>
      <c r="K36" s="79">
        <v>55000</v>
      </c>
      <c r="L36" s="79"/>
      <c r="M36" s="79">
        <v>56932</v>
      </c>
      <c r="N36" s="79"/>
      <c r="O36" s="79">
        <f t="shared" si="10"/>
        <v>0</v>
      </c>
      <c r="P36" s="79"/>
      <c r="Q36" s="79">
        <f t="shared" si="9"/>
        <v>56932</v>
      </c>
      <c r="R36" s="79"/>
      <c r="S36" s="79">
        <v>50000</v>
      </c>
      <c r="T36" s="79"/>
      <c r="U36" s="79">
        <v>60000</v>
      </c>
      <c r="V36" s="79"/>
      <c r="W36" s="79">
        <v>60000</v>
      </c>
      <c r="X36" s="79"/>
      <c r="Y36" s="79">
        <f t="shared" si="5"/>
        <v>5000</v>
      </c>
      <c r="Z36" s="62"/>
      <c r="AA36" s="63">
        <f t="shared" si="6"/>
        <v>9.0909090909090912E-2</v>
      </c>
      <c r="AB36" s="62"/>
      <c r="AC36" s="79">
        <f t="shared" si="7"/>
        <v>3068</v>
      </c>
      <c r="AD36" s="62"/>
      <c r="AE36" s="63">
        <f t="shared" si="8"/>
        <v>5.3888849855968528E-2</v>
      </c>
      <c r="AF36" s="57"/>
      <c r="AH36" s="57"/>
      <c r="AI36" s="57"/>
      <c r="AJ36" s="57"/>
    </row>
    <row r="37" spans="1:36" x14ac:dyDescent="0.2">
      <c r="A37" s="55" t="s">
        <v>733</v>
      </c>
      <c r="B37" s="56" t="s">
        <v>373</v>
      </c>
      <c r="C37" s="77">
        <v>100843.64</v>
      </c>
      <c r="D37" s="78"/>
      <c r="E37" s="77">
        <v>167625.87</v>
      </c>
      <c r="F37" s="78"/>
      <c r="G37" s="77">
        <v>156805.38</v>
      </c>
      <c r="H37" s="77"/>
      <c r="I37" s="77">
        <v>160000</v>
      </c>
      <c r="J37" s="77"/>
      <c r="K37" s="77">
        <v>160000</v>
      </c>
      <c r="L37" s="77"/>
      <c r="M37" s="77">
        <v>297400.96999999997</v>
      </c>
      <c r="N37" s="77"/>
      <c r="O37" s="77">
        <f t="shared" si="10"/>
        <v>0</v>
      </c>
      <c r="P37" s="77"/>
      <c r="Q37" s="77">
        <f t="shared" si="9"/>
        <v>297400.96999999997</v>
      </c>
      <c r="R37" s="77"/>
      <c r="S37" s="77">
        <v>200000</v>
      </c>
      <c r="T37" s="77"/>
      <c r="U37" s="77">
        <v>200000</v>
      </c>
      <c r="V37" s="77"/>
      <c r="W37" s="77">
        <v>200000</v>
      </c>
      <c r="X37" s="77"/>
      <c r="Y37" s="77">
        <f t="shared" si="5"/>
        <v>40000</v>
      </c>
      <c r="Z37" s="57"/>
      <c r="AA37" s="58">
        <f t="shared" si="6"/>
        <v>0.25</v>
      </c>
      <c r="AB37" s="57"/>
      <c r="AC37" s="77">
        <f t="shared" si="7"/>
        <v>-97400.969999999972</v>
      </c>
      <c r="AD37" s="57"/>
      <c r="AE37" s="58">
        <f t="shared" si="8"/>
        <v>-0.32750723711492935</v>
      </c>
      <c r="AF37" s="57"/>
      <c r="AG37" s="56" t="s">
        <v>1439</v>
      </c>
      <c r="AH37" s="57"/>
      <c r="AI37" s="57"/>
      <c r="AJ37" s="57"/>
    </row>
    <row r="38" spans="1:36" x14ac:dyDescent="0.2">
      <c r="A38" s="59" t="s">
        <v>734</v>
      </c>
      <c r="B38" s="60" t="s">
        <v>377</v>
      </c>
      <c r="C38" s="79">
        <v>0</v>
      </c>
      <c r="D38" s="80"/>
      <c r="E38" s="79">
        <v>40000</v>
      </c>
      <c r="F38" s="80"/>
      <c r="G38" s="79">
        <v>10000</v>
      </c>
      <c r="H38" s="79"/>
      <c r="I38" s="79">
        <v>0</v>
      </c>
      <c r="J38" s="79"/>
      <c r="K38" s="79">
        <v>0</v>
      </c>
      <c r="L38" s="79"/>
      <c r="M38" s="79">
        <v>0</v>
      </c>
      <c r="N38" s="79"/>
      <c r="O38" s="79">
        <v>0</v>
      </c>
      <c r="P38" s="79"/>
      <c r="Q38" s="79">
        <f t="shared" si="9"/>
        <v>0</v>
      </c>
      <c r="R38" s="79"/>
      <c r="S38" s="79">
        <v>0</v>
      </c>
      <c r="T38" s="79"/>
      <c r="U38" s="79">
        <v>12500</v>
      </c>
      <c r="V38" s="79"/>
      <c r="W38" s="79">
        <v>10600</v>
      </c>
      <c r="X38" s="79"/>
      <c r="Y38" s="79">
        <f t="shared" si="5"/>
        <v>10600</v>
      </c>
      <c r="Z38" s="62"/>
      <c r="AA38" s="63" t="e">
        <f t="shared" si="6"/>
        <v>#DIV/0!</v>
      </c>
      <c r="AB38" s="62"/>
      <c r="AC38" s="79">
        <f t="shared" si="7"/>
        <v>10600</v>
      </c>
      <c r="AD38" s="62"/>
      <c r="AE38" s="63" t="e">
        <f t="shared" si="8"/>
        <v>#DIV/0!</v>
      </c>
      <c r="AF38" s="57"/>
      <c r="AG38" s="56" t="s">
        <v>1050</v>
      </c>
      <c r="AH38" s="57"/>
      <c r="AI38" s="57"/>
      <c r="AJ38" s="57"/>
    </row>
    <row r="39" spans="1:36" x14ac:dyDescent="0.2">
      <c r="A39" s="55" t="s">
        <v>735</v>
      </c>
      <c r="B39" s="56" t="s">
        <v>379</v>
      </c>
      <c r="C39" s="77">
        <v>0</v>
      </c>
      <c r="D39" s="78"/>
      <c r="E39" s="77">
        <v>6423.71</v>
      </c>
      <c r="F39" s="78"/>
      <c r="G39" s="77">
        <v>8158.73</v>
      </c>
      <c r="H39" s="77"/>
      <c r="I39" s="77">
        <v>12500</v>
      </c>
      <c r="J39" s="77"/>
      <c r="K39" s="77">
        <v>12500</v>
      </c>
      <c r="L39" s="77"/>
      <c r="M39" s="77">
        <v>9802.61</v>
      </c>
      <c r="N39" s="77"/>
      <c r="O39" s="77">
        <f>PRODUCT(M39,0/12)</f>
        <v>0</v>
      </c>
      <c r="P39" s="77"/>
      <c r="Q39" s="77">
        <f t="shared" si="9"/>
        <v>9802.61</v>
      </c>
      <c r="R39" s="77"/>
      <c r="S39" s="77">
        <v>10000</v>
      </c>
      <c r="T39" s="77"/>
      <c r="U39" s="77">
        <v>13000</v>
      </c>
      <c r="V39" s="77"/>
      <c r="W39" s="77">
        <v>13000</v>
      </c>
      <c r="X39" s="77"/>
      <c r="Y39" s="77">
        <f t="shared" si="5"/>
        <v>500</v>
      </c>
      <c r="Z39" s="57"/>
      <c r="AA39" s="58">
        <f t="shared" si="6"/>
        <v>0.04</v>
      </c>
      <c r="AB39" s="57"/>
      <c r="AC39" s="77">
        <f t="shared" si="7"/>
        <v>3197.3899999999994</v>
      </c>
      <c r="AD39" s="57"/>
      <c r="AE39" s="58">
        <f t="shared" si="8"/>
        <v>0.32617741601471439</v>
      </c>
      <c r="AF39" s="57"/>
      <c r="AH39" s="57"/>
      <c r="AI39" s="57"/>
      <c r="AJ39" s="57"/>
    </row>
    <row r="40" spans="1:36" x14ac:dyDescent="0.2">
      <c r="A40" s="59" t="s">
        <v>736</v>
      </c>
      <c r="B40" s="60" t="s">
        <v>385</v>
      </c>
      <c r="C40" s="79">
        <v>0</v>
      </c>
      <c r="D40" s="80"/>
      <c r="E40" s="79">
        <v>1653.83</v>
      </c>
      <c r="F40" s="80"/>
      <c r="G40" s="79">
        <v>2000</v>
      </c>
      <c r="H40" s="79"/>
      <c r="I40" s="79">
        <v>5000</v>
      </c>
      <c r="J40" s="79"/>
      <c r="K40" s="79">
        <v>5000</v>
      </c>
      <c r="L40" s="79"/>
      <c r="M40" s="79">
        <v>700</v>
      </c>
      <c r="N40" s="79"/>
      <c r="O40" s="79">
        <f>PRODUCT(M40,0/12)</f>
        <v>0</v>
      </c>
      <c r="P40" s="79"/>
      <c r="Q40" s="79">
        <f t="shared" si="9"/>
        <v>700</v>
      </c>
      <c r="R40" s="79"/>
      <c r="S40" s="79">
        <v>4000</v>
      </c>
      <c r="T40" s="79"/>
      <c r="U40" s="79">
        <v>5000</v>
      </c>
      <c r="V40" s="79"/>
      <c r="W40" s="79">
        <v>5000</v>
      </c>
      <c r="X40" s="79"/>
      <c r="Y40" s="79">
        <f t="shared" si="5"/>
        <v>0</v>
      </c>
      <c r="Z40" s="62"/>
      <c r="AA40" s="63">
        <f t="shared" si="6"/>
        <v>0</v>
      </c>
      <c r="AB40" s="62"/>
      <c r="AC40" s="79">
        <f t="shared" si="7"/>
        <v>4300</v>
      </c>
      <c r="AD40" s="62"/>
      <c r="AE40" s="63">
        <f t="shared" si="8"/>
        <v>6.1428571428571432</v>
      </c>
      <c r="AF40" s="57"/>
      <c r="AH40" s="57"/>
      <c r="AI40" s="57"/>
      <c r="AJ40" s="57"/>
    </row>
    <row r="41" spans="1:36" x14ac:dyDescent="0.2">
      <c r="A41" s="64" t="s">
        <v>70</v>
      </c>
      <c r="C41" s="81">
        <f>SUM(C28:C40)</f>
        <v>241572.68</v>
      </c>
      <c r="D41" s="78"/>
      <c r="E41" s="81">
        <f>SUM(E28:E40)</f>
        <v>348436.23000000004</v>
      </c>
      <c r="F41" s="78"/>
      <c r="G41" s="81">
        <f>SUM(G28:G40)</f>
        <v>407330.75</v>
      </c>
      <c r="H41" s="77"/>
      <c r="I41" s="81">
        <f>SUM(I28:I40)</f>
        <v>501000</v>
      </c>
      <c r="J41" s="77"/>
      <c r="K41" s="81">
        <f>SUM(K28:K40)</f>
        <v>1545100</v>
      </c>
      <c r="L41" s="77"/>
      <c r="M41" s="81">
        <f>SUM(M28:M40)</f>
        <v>1478118.4600000002</v>
      </c>
      <c r="N41" s="77"/>
      <c r="O41" s="81">
        <f>SUM(O28:O40)</f>
        <v>0</v>
      </c>
      <c r="P41" s="77"/>
      <c r="Q41" s="81">
        <f>SUM(Q28:Q40)</f>
        <v>1478118.4600000002</v>
      </c>
      <c r="R41" s="77"/>
      <c r="S41" s="81">
        <f>SUM(S28:S40)</f>
        <v>506000</v>
      </c>
      <c r="T41" s="77"/>
      <c r="U41" s="81">
        <f>SUM(U28:U40)</f>
        <v>583500</v>
      </c>
      <c r="V41" s="77"/>
      <c r="W41" s="81">
        <f>SUM(W28:W40)</f>
        <v>612100</v>
      </c>
      <c r="X41" s="77"/>
      <c r="Y41" s="81">
        <f>SUM(Y28:Y40)</f>
        <v>111100</v>
      </c>
      <c r="Z41" s="57"/>
      <c r="AA41" s="65">
        <f t="shared" si="6"/>
        <v>0.22175648702594813</v>
      </c>
      <c r="AB41" s="57"/>
      <c r="AC41" s="81">
        <f>SUM(AC28:AC40)</f>
        <v>-866018.46</v>
      </c>
      <c r="AD41" s="57"/>
      <c r="AE41" s="65">
        <f t="shared" si="8"/>
        <v>-0.58589245952587576</v>
      </c>
      <c r="AF41" s="57"/>
      <c r="AH41" s="57"/>
      <c r="AI41" s="57"/>
      <c r="AJ41" s="57"/>
    </row>
    <row r="42" spans="1:36" x14ac:dyDescent="0.2">
      <c r="A42" s="55"/>
      <c r="C42" s="77"/>
      <c r="D42" s="78"/>
      <c r="E42" s="77"/>
      <c r="F42" s="78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57"/>
      <c r="AA42" s="58"/>
      <c r="AB42" s="57"/>
      <c r="AC42" s="77"/>
      <c r="AD42" s="57"/>
      <c r="AE42" s="58"/>
      <c r="AF42" s="57"/>
      <c r="AH42" s="57"/>
      <c r="AI42" s="57"/>
      <c r="AJ42" s="57"/>
    </row>
    <row r="43" spans="1:36" x14ac:dyDescent="0.2">
      <c r="A43" s="54" t="s">
        <v>388</v>
      </c>
      <c r="C43" s="77"/>
      <c r="D43" s="78"/>
      <c r="E43" s="77"/>
      <c r="F43" s="78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57"/>
      <c r="AA43" s="58"/>
      <c r="AB43" s="57"/>
      <c r="AC43" s="77"/>
      <c r="AD43" s="57"/>
      <c r="AE43" s="58"/>
      <c r="AF43" s="57"/>
      <c r="AH43" s="57"/>
      <c r="AI43" s="57"/>
      <c r="AJ43" s="57"/>
    </row>
    <row r="44" spans="1:36" x14ac:dyDescent="0.2">
      <c r="A44" s="59" t="s">
        <v>737</v>
      </c>
      <c r="B44" s="60" t="s">
        <v>240</v>
      </c>
      <c r="C44" s="79">
        <v>6275.89</v>
      </c>
      <c r="D44" s="80"/>
      <c r="E44" s="79">
        <v>0</v>
      </c>
      <c r="F44" s="80"/>
      <c r="G44" s="79">
        <v>0</v>
      </c>
      <c r="H44" s="79"/>
      <c r="I44" s="79">
        <v>0</v>
      </c>
      <c r="J44" s="79"/>
      <c r="K44" s="79">
        <v>0</v>
      </c>
      <c r="L44" s="79"/>
      <c r="M44" s="79">
        <v>0</v>
      </c>
      <c r="N44" s="79"/>
      <c r="O44" s="79">
        <v>0</v>
      </c>
      <c r="P44" s="79"/>
      <c r="Q44" s="79">
        <f>SUM(M44,O44)</f>
        <v>0</v>
      </c>
      <c r="R44" s="79"/>
      <c r="S44" s="79">
        <v>0</v>
      </c>
      <c r="T44" s="79"/>
      <c r="U44" s="79">
        <v>0</v>
      </c>
      <c r="V44" s="79"/>
      <c r="W44" s="79">
        <v>0</v>
      </c>
      <c r="X44" s="79"/>
      <c r="Y44" s="79">
        <f>SUM(W44,-I44)</f>
        <v>0</v>
      </c>
      <c r="Z44" s="62"/>
      <c r="AA44" s="63" t="str">
        <f>IF(W44=0,"N/A",PRODUCT(Y44,1/I44))</f>
        <v>N/A</v>
      </c>
      <c r="AB44" s="62"/>
      <c r="AC44" s="79">
        <f>SUM(W44,-Q44)</f>
        <v>0</v>
      </c>
      <c r="AD44" s="62"/>
      <c r="AE44" s="63" t="str">
        <f>IF(W44=0,"N/A",PRODUCT(AC44,1/Q44))</f>
        <v>N/A</v>
      </c>
      <c r="AF44" s="57"/>
      <c r="AH44" s="57"/>
      <c r="AI44" s="57"/>
      <c r="AJ44" s="57"/>
    </row>
    <row r="45" spans="1:36" x14ac:dyDescent="0.2">
      <c r="A45" s="55" t="s">
        <v>738</v>
      </c>
      <c r="B45" s="56" t="s">
        <v>241</v>
      </c>
      <c r="C45" s="77">
        <v>0</v>
      </c>
      <c r="D45" s="78"/>
      <c r="E45" s="77">
        <v>59999.78</v>
      </c>
      <c r="F45" s="78"/>
      <c r="G45" s="77">
        <v>0</v>
      </c>
      <c r="H45" s="77"/>
      <c r="I45" s="77">
        <v>0</v>
      </c>
      <c r="J45" s="77"/>
      <c r="K45" s="77">
        <v>0</v>
      </c>
      <c r="L45" s="77"/>
      <c r="M45" s="77">
        <v>0</v>
      </c>
      <c r="N45" s="77"/>
      <c r="O45" s="77">
        <v>0</v>
      </c>
      <c r="P45" s="77"/>
      <c r="Q45" s="77">
        <f>SUM(M45,O45)</f>
        <v>0</v>
      </c>
      <c r="R45" s="77"/>
      <c r="S45" s="77">
        <v>0</v>
      </c>
      <c r="T45" s="77"/>
      <c r="U45" s="77">
        <v>0</v>
      </c>
      <c r="V45" s="77"/>
      <c r="W45" s="77">
        <v>0</v>
      </c>
      <c r="X45" s="77"/>
      <c r="Y45" s="77">
        <f>SUM(W45,-I45)</f>
        <v>0</v>
      </c>
      <c r="Z45" s="57"/>
      <c r="AA45" s="58" t="str">
        <f>IF(W45=0,"N/A",PRODUCT(Y45,1/I45))</f>
        <v>N/A</v>
      </c>
      <c r="AB45" s="57"/>
      <c r="AC45" s="77">
        <f>SUM(W45,-Q45)</f>
        <v>0</v>
      </c>
      <c r="AD45" s="57"/>
      <c r="AE45" s="58" t="str">
        <f>IF(W45=0,"N/A",PRODUCT(AC45,1/Q45))</f>
        <v>N/A</v>
      </c>
      <c r="AF45" s="57"/>
      <c r="AH45" s="57"/>
      <c r="AI45" s="57"/>
      <c r="AJ45" s="57"/>
    </row>
    <row r="46" spans="1:36" x14ac:dyDescent="0.2">
      <c r="A46" s="59" t="s">
        <v>739</v>
      </c>
      <c r="B46" s="60" t="s">
        <v>665</v>
      </c>
      <c r="C46" s="79">
        <v>0</v>
      </c>
      <c r="D46" s="80"/>
      <c r="E46" s="79">
        <v>0</v>
      </c>
      <c r="F46" s="80"/>
      <c r="G46" s="79">
        <v>132201.5</v>
      </c>
      <c r="H46" s="79"/>
      <c r="I46" s="79">
        <v>0</v>
      </c>
      <c r="J46" s="79"/>
      <c r="K46" s="79">
        <v>0</v>
      </c>
      <c r="L46" s="79"/>
      <c r="M46" s="79">
        <v>0</v>
      </c>
      <c r="N46" s="79"/>
      <c r="O46" s="79">
        <v>0</v>
      </c>
      <c r="P46" s="79"/>
      <c r="Q46" s="79">
        <f>SUM(M46,O46)</f>
        <v>0</v>
      </c>
      <c r="R46" s="79"/>
      <c r="S46" s="79">
        <v>0</v>
      </c>
      <c r="T46" s="79"/>
      <c r="U46" s="79">
        <v>0</v>
      </c>
      <c r="V46" s="79"/>
      <c r="W46" s="79">
        <v>0</v>
      </c>
      <c r="X46" s="79"/>
      <c r="Y46" s="79">
        <f>SUM(W46,-I46)</f>
        <v>0</v>
      </c>
      <c r="Z46" s="62"/>
      <c r="AA46" s="63" t="str">
        <f>IF(W46=0,"N/A",PRODUCT(Y46,1/I46))</f>
        <v>N/A</v>
      </c>
      <c r="AB46" s="62"/>
      <c r="AC46" s="79">
        <f>SUM(W46,-Q46)</f>
        <v>0</v>
      </c>
      <c r="AD46" s="62"/>
      <c r="AE46" s="63" t="str">
        <f>IF(W46=0,"N/A",PRODUCT(AC46,1/Q46))</f>
        <v>N/A</v>
      </c>
      <c r="AF46" s="57"/>
      <c r="AH46" s="57"/>
      <c r="AI46" s="57"/>
      <c r="AJ46" s="57"/>
    </row>
    <row r="47" spans="1:36" x14ac:dyDescent="0.2">
      <c r="A47" s="64" t="s">
        <v>459</v>
      </c>
      <c r="C47" s="81">
        <f>SUM(C44:C46)</f>
        <v>6275.89</v>
      </c>
      <c r="D47" s="78"/>
      <c r="E47" s="81">
        <f>SUM(E44:E46)</f>
        <v>59999.78</v>
      </c>
      <c r="F47" s="77"/>
      <c r="G47" s="81">
        <f>SUM(G44:G46)</f>
        <v>132201.5</v>
      </c>
      <c r="H47" s="77"/>
      <c r="I47" s="81">
        <f>SUM(I44:I46)</f>
        <v>0</v>
      </c>
      <c r="J47" s="77"/>
      <c r="K47" s="81">
        <f>SUM(K44:K46)</f>
        <v>0</v>
      </c>
      <c r="L47" s="77"/>
      <c r="M47" s="81">
        <f>SUM(M44:M46)</f>
        <v>0</v>
      </c>
      <c r="N47" s="77"/>
      <c r="O47" s="81">
        <f>SUM(O44:O46)</f>
        <v>0</v>
      </c>
      <c r="P47" s="77"/>
      <c r="Q47" s="81">
        <f>SUM(Q44:Q46)</f>
        <v>0</v>
      </c>
      <c r="R47" s="77"/>
      <c r="S47" s="81">
        <f>SUM(S44:S46)</f>
        <v>0</v>
      </c>
      <c r="T47" s="77"/>
      <c r="U47" s="81">
        <f>SUM(U44:U46)</f>
        <v>0</v>
      </c>
      <c r="V47" s="77"/>
      <c r="W47" s="81">
        <f>SUM(W44:W46)</f>
        <v>0</v>
      </c>
      <c r="X47" s="77"/>
      <c r="Y47" s="81">
        <f>SUM(Y44:Y46)</f>
        <v>0</v>
      </c>
      <c r="Z47" s="57"/>
      <c r="AA47" s="65" t="str">
        <f>IF(W47=0,"N/A",PRODUCT(Y47,1/I47))</f>
        <v>N/A</v>
      </c>
      <c r="AB47" s="57"/>
      <c r="AC47" s="81">
        <f>SUM(AC44:AC46)</f>
        <v>0</v>
      </c>
      <c r="AD47" s="57"/>
      <c r="AE47" s="65" t="str">
        <f>IF(W47=0,"N/A",PRODUCT(AC47,1/Q47))</f>
        <v>N/A</v>
      </c>
      <c r="AF47" s="57"/>
      <c r="AH47" s="57"/>
      <c r="AI47" s="57"/>
      <c r="AJ47" s="57"/>
    </row>
    <row r="48" spans="1:36" x14ac:dyDescent="0.2">
      <c r="C48" s="77"/>
      <c r="D48" s="78"/>
      <c r="E48" s="77"/>
      <c r="F48" s="78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57"/>
      <c r="AA48" s="58"/>
      <c r="AB48" s="57"/>
      <c r="AC48" s="77"/>
      <c r="AD48" s="57"/>
      <c r="AE48" s="58"/>
      <c r="AF48" s="57"/>
      <c r="AH48" s="57"/>
      <c r="AI48" s="57"/>
      <c r="AJ48" s="57"/>
    </row>
    <row r="49" spans="1:36" ht="13.5" thickBot="1" x14ac:dyDescent="0.25">
      <c r="A49" s="67" t="s">
        <v>747</v>
      </c>
      <c r="C49" s="83">
        <f>SUM(C13,C20,C25,C41,C47)</f>
        <v>472183.83999999997</v>
      </c>
      <c r="D49" s="78"/>
      <c r="E49" s="83">
        <f>SUM(E13,E20,E25,E41,E47)</f>
        <v>655641.53</v>
      </c>
      <c r="F49" s="78"/>
      <c r="G49" s="83">
        <f>SUM(G13,G20,G25,G41,G47)</f>
        <v>803496.4</v>
      </c>
      <c r="H49" s="77"/>
      <c r="I49" s="83">
        <f>SUM(I13,I20,I25,I41,I47)</f>
        <v>797750</v>
      </c>
      <c r="J49" s="77"/>
      <c r="K49" s="83">
        <f>SUM(K13,K20,K25,K41,K47)</f>
        <v>1841850</v>
      </c>
      <c r="L49" s="77"/>
      <c r="M49" s="82">
        <f>SUM(M13,M20,M25,M41,M47)</f>
        <v>1744456.1500000001</v>
      </c>
      <c r="N49" s="77"/>
      <c r="O49" s="82">
        <f>SUM(O13,O20,O25,O41,O47)</f>
        <v>0</v>
      </c>
      <c r="P49" s="77"/>
      <c r="Q49" s="83">
        <f>SUM(Q13,Q20,Q25,Q41,Q47)</f>
        <v>1744456.1500000001</v>
      </c>
      <c r="R49" s="77"/>
      <c r="S49" s="82">
        <f>SUM(S13,S20,S25,S41,S47)</f>
        <v>802250</v>
      </c>
      <c r="T49" s="77"/>
      <c r="U49" s="82">
        <f>SUM(U13,U20,U25,U41,U47)</f>
        <v>900750</v>
      </c>
      <c r="V49" s="77"/>
      <c r="W49" s="83">
        <f>SUM(W13,W20,W25,W41,W47)</f>
        <v>941350</v>
      </c>
      <c r="X49" s="77"/>
      <c r="Y49" s="82">
        <f>SUM(Y13,Y20,Y25,Y41,Y47)</f>
        <v>143600</v>
      </c>
      <c r="Z49" s="57"/>
      <c r="AA49" s="125">
        <f>IF(W49=0,"N/A",PRODUCT(Y49,1/I49))</f>
        <v>0.18000626762770292</v>
      </c>
      <c r="AB49" s="57"/>
      <c r="AC49" s="82">
        <f>SUM(AC13,AC20,AC25,AC41,AC47)</f>
        <v>-803106.15</v>
      </c>
      <c r="AD49" s="57"/>
      <c r="AE49" s="125">
        <f>IF(W49=0,"N/A",PRODUCT(AC49,1/Q49))</f>
        <v>-0.46037623244356124</v>
      </c>
      <c r="AF49" s="57"/>
      <c r="AH49" s="57"/>
      <c r="AI49" s="57"/>
      <c r="AJ49" s="57"/>
    </row>
    <row r="50" spans="1:36" ht="13.5" thickTop="1" x14ac:dyDescent="0.2">
      <c r="C50" s="77"/>
      <c r="D50" s="78"/>
      <c r="E50" s="77"/>
      <c r="F50" s="78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57"/>
      <c r="AA50" s="57"/>
      <c r="AB50" s="57"/>
      <c r="AC50" s="77"/>
      <c r="AD50" s="57"/>
      <c r="AE50" s="53"/>
      <c r="AF50" s="57"/>
      <c r="AH50" s="57"/>
      <c r="AI50" s="57"/>
      <c r="AJ50" s="57"/>
    </row>
    <row r="51" spans="1:36" x14ac:dyDescent="0.2">
      <c r="C51" s="57"/>
      <c r="D51" s="53"/>
      <c r="E51" s="57"/>
      <c r="F51" s="53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3"/>
      <c r="AF51" s="57"/>
      <c r="AH51" s="57"/>
      <c r="AI51" s="57"/>
      <c r="AJ51" s="57"/>
    </row>
    <row r="52" spans="1:36" x14ac:dyDescent="0.2">
      <c r="C52" s="57"/>
      <c r="D52" s="53"/>
      <c r="E52" s="57"/>
      <c r="F52" s="53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H52" s="57"/>
      <c r="AI52" s="57"/>
      <c r="AJ52" s="57"/>
    </row>
    <row r="53" spans="1:36" x14ac:dyDescent="0.2">
      <c r="C53" s="57"/>
      <c r="D53" s="53"/>
      <c r="E53" s="57"/>
      <c r="F53" s="53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H53" s="57"/>
      <c r="AI53" s="57"/>
      <c r="AJ53" s="57"/>
    </row>
    <row r="54" spans="1:36" x14ac:dyDescent="0.2">
      <c r="C54" s="57"/>
      <c r="D54" s="53"/>
      <c r="E54" s="57"/>
      <c r="F54" s="53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H54" s="57"/>
      <c r="AI54" s="57"/>
      <c r="AJ54" s="57"/>
    </row>
    <row r="55" spans="1:36" x14ac:dyDescent="0.2">
      <c r="C55" s="57"/>
      <c r="D55" s="53"/>
      <c r="E55" s="57"/>
      <c r="F55" s="5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H55" s="57"/>
      <c r="AI55" s="57"/>
      <c r="AJ55" s="57"/>
    </row>
    <row r="56" spans="1:36" x14ac:dyDescent="0.2">
      <c r="C56" s="57"/>
      <c r="D56" s="53"/>
      <c r="E56" s="57"/>
      <c r="F56" s="53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H56" s="57"/>
      <c r="AI56" s="57"/>
      <c r="AJ56" s="57"/>
    </row>
    <row r="57" spans="1:36" x14ac:dyDescent="0.2">
      <c r="C57" s="57"/>
      <c r="D57" s="53"/>
      <c r="E57" s="57"/>
      <c r="F57" s="53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H57" s="57"/>
      <c r="AI57" s="57"/>
      <c r="AJ57" s="57"/>
    </row>
    <row r="58" spans="1:36" x14ac:dyDescent="0.2">
      <c r="C58" s="57"/>
      <c r="D58" s="53"/>
      <c r="E58" s="57"/>
      <c r="F58" s="53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H58" s="57"/>
      <c r="AI58" s="57"/>
      <c r="AJ58" s="57"/>
    </row>
    <row r="59" spans="1:36" x14ac:dyDescent="0.2">
      <c r="C59" s="57"/>
      <c r="D59" s="53"/>
      <c r="E59" s="57"/>
      <c r="F59" s="53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H59" s="57"/>
      <c r="AI59" s="57"/>
      <c r="AJ59" s="57"/>
    </row>
    <row r="60" spans="1:36" x14ac:dyDescent="0.2">
      <c r="C60" s="57"/>
      <c r="D60" s="53"/>
      <c r="E60" s="57"/>
      <c r="F60" s="53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H60" s="57"/>
      <c r="AI60" s="57"/>
      <c r="AJ60" s="57"/>
    </row>
    <row r="61" spans="1:36" x14ac:dyDescent="0.2">
      <c r="C61" s="57"/>
      <c r="D61" s="53"/>
      <c r="E61" s="57"/>
      <c r="F61" s="53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H61" s="57"/>
      <c r="AI61" s="57"/>
      <c r="AJ61" s="57"/>
    </row>
    <row r="62" spans="1:36" x14ac:dyDescent="0.2">
      <c r="C62" s="57"/>
      <c r="D62" s="53"/>
      <c r="E62" s="57"/>
      <c r="F62" s="53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H62" s="57"/>
      <c r="AI62" s="57"/>
      <c r="AJ62" s="57"/>
    </row>
    <row r="63" spans="1:36" x14ac:dyDescent="0.2">
      <c r="C63" s="57"/>
      <c r="D63" s="53"/>
      <c r="E63" s="57"/>
      <c r="F63" s="53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H63" s="57"/>
      <c r="AI63" s="57"/>
      <c r="AJ63" s="57"/>
    </row>
    <row r="64" spans="1:36" x14ac:dyDescent="0.2">
      <c r="C64" s="57"/>
      <c r="D64" s="53"/>
      <c r="E64" s="57"/>
      <c r="F64" s="53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H64" s="57"/>
      <c r="AI64" s="57"/>
      <c r="AJ64" s="57"/>
    </row>
    <row r="65" spans="3:36" x14ac:dyDescent="0.2">
      <c r="C65" s="57"/>
      <c r="D65" s="53"/>
      <c r="E65" s="57"/>
      <c r="F65" s="53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H65" s="57"/>
      <c r="AI65" s="57"/>
      <c r="AJ65" s="57"/>
    </row>
    <row r="66" spans="3:36" x14ac:dyDescent="0.2">
      <c r="C66" s="57"/>
      <c r="D66" s="53"/>
      <c r="E66" s="57"/>
      <c r="F66" s="53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H66" s="57"/>
      <c r="AI66" s="57"/>
      <c r="AJ66" s="57"/>
    </row>
    <row r="67" spans="3:36" x14ac:dyDescent="0.2">
      <c r="C67" s="57"/>
      <c r="D67" s="53"/>
      <c r="E67" s="57"/>
      <c r="F67" s="53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H67" s="57"/>
      <c r="AI67" s="57"/>
      <c r="AJ67" s="57"/>
    </row>
    <row r="68" spans="3:36" x14ac:dyDescent="0.2">
      <c r="C68" s="57"/>
      <c r="D68" s="53"/>
      <c r="E68" s="57"/>
      <c r="F68" s="53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H68" s="57"/>
      <c r="AI68" s="57"/>
      <c r="AJ68" s="57"/>
    </row>
    <row r="69" spans="3:36" x14ac:dyDescent="0.2">
      <c r="C69" s="57"/>
      <c r="D69" s="53"/>
      <c r="E69" s="57"/>
      <c r="F69" s="53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H69" s="57"/>
      <c r="AI69" s="57"/>
      <c r="AJ69" s="57"/>
    </row>
    <row r="70" spans="3:36" x14ac:dyDescent="0.2">
      <c r="C70" s="57"/>
      <c r="D70" s="53"/>
      <c r="E70" s="57"/>
      <c r="F70" s="53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H70" s="57"/>
      <c r="AI70" s="57"/>
      <c r="AJ70" s="57"/>
    </row>
    <row r="71" spans="3:36" x14ac:dyDescent="0.2">
      <c r="C71" s="57"/>
      <c r="D71" s="53"/>
      <c r="E71" s="57"/>
      <c r="F71" s="53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H71" s="57"/>
      <c r="AI71" s="57"/>
      <c r="AJ71" s="57"/>
    </row>
    <row r="72" spans="3:36" x14ac:dyDescent="0.2">
      <c r="C72" s="57"/>
      <c r="D72" s="53"/>
      <c r="E72" s="57"/>
      <c r="F72" s="53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H72" s="57"/>
      <c r="AI72" s="57"/>
      <c r="AJ72" s="57"/>
    </row>
    <row r="73" spans="3:36" x14ac:dyDescent="0.2">
      <c r="C73" s="57"/>
      <c r="D73" s="53"/>
      <c r="E73" s="57"/>
      <c r="F73" s="53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H73" s="57"/>
      <c r="AI73" s="57"/>
      <c r="AJ73" s="57"/>
    </row>
    <row r="74" spans="3:36" x14ac:dyDescent="0.2">
      <c r="C74" s="57"/>
      <c r="D74" s="53"/>
      <c r="E74" s="57"/>
      <c r="F74" s="53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H74" s="57"/>
      <c r="AI74" s="57"/>
      <c r="AJ74" s="57"/>
    </row>
    <row r="75" spans="3:36" x14ac:dyDescent="0.2">
      <c r="C75" s="57"/>
      <c r="D75" s="53"/>
      <c r="E75" s="57"/>
      <c r="F75" s="53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H75" s="57"/>
      <c r="AI75" s="57"/>
      <c r="AJ75" s="57"/>
    </row>
    <row r="76" spans="3:36" x14ac:dyDescent="0.2">
      <c r="C76" s="57"/>
      <c r="D76" s="53"/>
      <c r="E76" s="57"/>
      <c r="F76" s="53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H76" s="57"/>
      <c r="AI76" s="57"/>
      <c r="AJ76" s="57"/>
    </row>
    <row r="77" spans="3:36" x14ac:dyDescent="0.2">
      <c r="C77" s="57"/>
      <c r="D77" s="53"/>
      <c r="E77" s="57"/>
      <c r="F77" s="53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H77" s="57"/>
      <c r="AI77" s="57"/>
      <c r="AJ77" s="57"/>
    </row>
    <row r="78" spans="3:36" x14ac:dyDescent="0.2">
      <c r="C78" s="57"/>
      <c r="D78" s="53"/>
      <c r="E78" s="57"/>
      <c r="F78" s="53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H78" s="57"/>
      <c r="AI78" s="57"/>
      <c r="AJ78" s="57"/>
    </row>
    <row r="79" spans="3:36" x14ac:dyDescent="0.2">
      <c r="C79" s="57"/>
      <c r="D79" s="53"/>
      <c r="E79" s="57"/>
      <c r="F79" s="53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H79" s="57"/>
      <c r="AI79" s="57"/>
      <c r="AJ79" s="57"/>
    </row>
    <row r="80" spans="3:36" x14ac:dyDescent="0.2">
      <c r="C80" s="57"/>
      <c r="D80" s="53"/>
      <c r="E80" s="57"/>
      <c r="F80" s="53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H80" s="57"/>
      <c r="AI80" s="57"/>
      <c r="AJ80" s="57"/>
    </row>
    <row r="81" spans="3:36" x14ac:dyDescent="0.2">
      <c r="C81" s="57"/>
      <c r="D81" s="53"/>
      <c r="E81" s="57"/>
      <c r="F81" s="53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H81" s="57"/>
      <c r="AI81" s="57"/>
      <c r="AJ81" s="57"/>
    </row>
    <row r="82" spans="3:36" x14ac:dyDescent="0.2">
      <c r="C82" s="57"/>
      <c r="D82" s="53"/>
      <c r="E82" s="57"/>
      <c r="F82" s="53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H82" s="57"/>
      <c r="AI82" s="57"/>
      <c r="AJ82" s="57"/>
    </row>
    <row r="83" spans="3:36" x14ac:dyDescent="0.2">
      <c r="C83" s="57"/>
      <c r="D83" s="53"/>
      <c r="E83" s="57"/>
      <c r="F83" s="53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H83" s="57"/>
      <c r="AI83" s="57"/>
      <c r="AJ83" s="57"/>
    </row>
    <row r="84" spans="3:36" x14ac:dyDescent="0.2">
      <c r="C84" s="57"/>
      <c r="D84" s="53"/>
      <c r="E84" s="57"/>
      <c r="F84" s="53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H84" s="57"/>
      <c r="AI84" s="57"/>
      <c r="AJ84" s="57"/>
    </row>
    <row r="85" spans="3:36" x14ac:dyDescent="0.2">
      <c r="C85" s="57"/>
      <c r="D85" s="53"/>
      <c r="E85" s="57"/>
      <c r="F85" s="53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H85" s="57"/>
      <c r="AI85" s="57"/>
      <c r="AJ85" s="57"/>
    </row>
    <row r="86" spans="3:36" x14ac:dyDescent="0.2">
      <c r="C86" s="57"/>
      <c r="D86" s="53"/>
      <c r="E86" s="57"/>
      <c r="F86" s="53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H86" s="57"/>
      <c r="AI86" s="57"/>
      <c r="AJ86" s="57"/>
    </row>
    <row r="87" spans="3:36" x14ac:dyDescent="0.2">
      <c r="C87" s="57"/>
      <c r="D87" s="53"/>
      <c r="E87" s="57"/>
      <c r="F87" s="53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H87" s="57"/>
      <c r="AI87" s="57"/>
      <c r="AJ87" s="57"/>
    </row>
    <row r="88" spans="3:36" x14ac:dyDescent="0.2">
      <c r="C88" s="57"/>
      <c r="D88" s="53"/>
      <c r="E88" s="57"/>
      <c r="F88" s="53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H88" s="57"/>
      <c r="AI88" s="57"/>
      <c r="AJ88" s="57"/>
    </row>
    <row r="89" spans="3:36" x14ac:dyDescent="0.2">
      <c r="C89" s="57"/>
      <c r="D89" s="53"/>
      <c r="E89" s="57"/>
      <c r="F89" s="53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H89" s="57"/>
      <c r="AI89" s="57"/>
      <c r="AJ89" s="57"/>
    </row>
    <row r="90" spans="3:36" x14ac:dyDescent="0.2">
      <c r="C90" s="57"/>
      <c r="D90" s="53"/>
      <c r="E90" s="57"/>
      <c r="F90" s="53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H90" s="57"/>
      <c r="AI90" s="57"/>
      <c r="AJ90" s="57"/>
    </row>
    <row r="91" spans="3:36" x14ac:dyDescent="0.2">
      <c r="C91" s="57"/>
      <c r="D91" s="53"/>
      <c r="E91" s="57"/>
      <c r="F91" s="53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H91" s="57"/>
      <c r="AI91" s="57"/>
      <c r="AJ91" s="57"/>
    </row>
    <row r="92" spans="3:36" x14ac:dyDescent="0.2">
      <c r="C92" s="57"/>
      <c r="D92" s="53"/>
      <c r="E92" s="57"/>
      <c r="F92" s="53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H92" s="57"/>
      <c r="AI92" s="57"/>
      <c r="AJ92" s="57"/>
    </row>
    <row r="93" spans="3:36" x14ac:dyDescent="0.2">
      <c r="C93" s="57"/>
      <c r="D93" s="53"/>
      <c r="E93" s="57"/>
      <c r="F93" s="53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H93" s="57"/>
      <c r="AI93" s="57"/>
      <c r="AJ93" s="57"/>
    </row>
    <row r="94" spans="3:36" x14ac:dyDescent="0.2">
      <c r="C94" s="57"/>
      <c r="D94" s="53"/>
      <c r="E94" s="57"/>
      <c r="F94" s="53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H94" s="57"/>
      <c r="AI94" s="57"/>
      <c r="AJ94" s="57"/>
    </row>
    <row r="95" spans="3:36" x14ac:dyDescent="0.2">
      <c r="C95" s="57"/>
      <c r="D95" s="53"/>
      <c r="E95" s="57"/>
      <c r="F95" s="53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H95" s="57"/>
      <c r="AI95" s="57"/>
      <c r="AJ95" s="57"/>
    </row>
    <row r="96" spans="3:36" x14ac:dyDescent="0.2">
      <c r="C96" s="57"/>
      <c r="D96" s="53"/>
      <c r="E96" s="57"/>
      <c r="F96" s="53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H96" s="57"/>
      <c r="AI96" s="57"/>
      <c r="AJ96" s="57"/>
    </row>
    <row r="97" spans="3:36" x14ac:dyDescent="0.2">
      <c r="C97" s="57"/>
      <c r="D97" s="53"/>
      <c r="E97" s="57"/>
      <c r="F97" s="53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H97" s="57"/>
      <c r="AI97" s="57"/>
      <c r="AJ97" s="57"/>
    </row>
    <row r="98" spans="3:36" x14ac:dyDescent="0.2">
      <c r="C98" s="57"/>
      <c r="D98" s="53"/>
      <c r="E98" s="57"/>
      <c r="F98" s="53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H98" s="57"/>
      <c r="AI98" s="57"/>
      <c r="AJ98" s="57"/>
    </row>
    <row r="99" spans="3:36" x14ac:dyDescent="0.2">
      <c r="C99" s="57"/>
      <c r="D99" s="53"/>
      <c r="E99" s="57"/>
      <c r="F99" s="53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H99" s="57"/>
      <c r="AI99" s="57"/>
      <c r="AJ99" s="57"/>
    </row>
    <row r="100" spans="3:36" x14ac:dyDescent="0.2">
      <c r="C100" s="57"/>
      <c r="D100" s="53"/>
      <c r="E100" s="57"/>
      <c r="F100" s="53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H100" s="57"/>
      <c r="AI100" s="57"/>
      <c r="AJ100" s="57"/>
    </row>
    <row r="101" spans="3:36" x14ac:dyDescent="0.2">
      <c r="C101" s="57"/>
      <c r="D101" s="53"/>
      <c r="E101" s="57"/>
      <c r="F101" s="53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H101" s="57"/>
      <c r="AI101" s="57"/>
      <c r="AJ101" s="57"/>
    </row>
    <row r="102" spans="3:36" x14ac:dyDescent="0.2">
      <c r="C102" s="57"/>
      <c r="D102" s="53"/>
      <c r="E102" s="57"/>
      <c r="F102" s="53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H102" s="57"/>
      <c r="AI102" s="57"/>
      <c r="AJ102" s="57"/>
    </row>
    <row r="103" spans="3:36" x14ac:dyDescent="0.2">
      <c r="C103" s="57"/>
      <c r="D103" s="53"/>
      <c r="E103" s="57"/>
      <c r="F103" s="53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H103" s="57"/>
      <c r="AI103" s="57"/>
      <c r="AJ103" s="57"/>
    </row>
    <row r="104" spans="3:36" x14ac:dyDescent="0.2">
      <c r="C104" s="57"/>
      <c r="D104" s="53"/>
      <c r="E104" s="57"/>
      <c r="F104" s="53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H104" s="57"/>
      <c r="AI104" s="57"/>
      <c r="AJ104" s="57"/>
    </row>
    <row r="105" spans="3:36" x14ac:dyDescent="0.2">
      <c r="C105" s="57"/>
      <c r="D105" s="53"/>
      <c r="E105" s="57"/>
      <c r="F105" s="53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H105" s="57"/>
      <c r="AI105" s="57"/>
      <c r="AJ105" s="57"/>
    </row>
    <row r="106" spans="3:36" x14ac:dyDescent="0.2">
      <c r="C106" s="57"/>
      <c r="D106" s="53"/>
      <c r="E106" s="57"/>
      <c r="F106" s="53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H106" s="57"/>
      <c r="AI106" s="57"/>
      <c r="AJ106" s="57"/>
    </row>
    <row r="107" spans="3:36" x14ac:dyDescent="0.2">
      <c r="C107" s="57"/>
      <c r="D107" s="53"/>
      <c r="E107" s="57"/>
      <c r="F107" s="53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H107" s="57"/>
      <c r="AI107" s="57"/>
      <c r="AJ107" s="57"/>
    </row>
    <row r="108" spans="3:36" x14ac:dyDescent="0.2">
      <c r="C108" s="57"/>
      <c r="D108" s="53"/>
      <c r="E108" s="57"/>
      <c r="F108" s="53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H108" s="57"/>
      <c r="AI108" s="57"/>
      <c r="AJ108" s="57"/>
    </row>
    <row r="109" spans="3:36" x14ac:dyDescent="0.2">
      <c r="C109" s="57"/>
      <c r="D109" s="53"/>
      <c r="E109" s="57"/>
      <c r="F109" s="53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H109" s="57"/>
      <c r="AI109" s="57"/>
      <c r="AJ109" s="57"/>
    </row>
    <row r="110" spans="3:36" x14ac:dyDescent="0.2">
      <c r="C110" s="57"/>
      <c r="D110" s="53"/>
      <c r="E110" s="57"/>
      <c r="F110" s="53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H110" s="57"/>
      <c r="AI110" s="57"/>
      <c r="AJ110" s="57"/>
    </row>
    <row r="111" spans="3:36" x14ac:dyDescent="0.2">
      <c r="C111" s="57"/>
      <c r="D111" s="53"/>
      <c r="E111" s="57"/>
      <c r="F111" s="53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H111" s="57"/>
      <c r="AI111" s="57"/>
      <c r="AJ111" s="57"/>
    </row>
    <row r="112" spans="3:36" x14ac:dyDescent="0.2">
      <c r="C112" s="57"/>
      <c r="D112" s="53"/>
      <c r="E112" s="57"/>
      <c r="F112" s="53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H112" s="57"/>
      <c r="AI112" s="57"/>
      <c r="AJ112" s="57"/>
    </row>
    <row r="113" spans="3:36" x14ac:dyDescent="0.2">
      <c r="C113" s="57"/>
      <c r="D113" s="53"/>
      <c r="E113" s="57"/>
      <c r="F113" s="53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H113" s="57"/>
      <c r="AI113" s="57"/>
      <c r="AJ113" s="57"/>
    </row>
    <row r="114" spans="3:36" x14ac:dyDescent="0.2">
      <c r="C114" s="57"/>
      <c r="D114" s="53"/>
      <c r="E114" s="57"/>
      <c r="F114" s="53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H114" s="57"/>
      <c r="AI114" s="57"/>
      <c r="AJ114" s="57"/>
    </row>
    <row r="115" spans="3:36" x14ac:dyDescent="0.2">
      <c r="C115" s="57"/>
      <c r="D115" s="53"/>
      <c r="E115" s="57"/>
      <c r="F115" s="53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H115" s="57"/>
      <c r="AI115" s="57"/>
      <c r="AJ115" s="57"/>
    </row>
    <row r="116" spans="3:36" x14ac:dyDescent="0.2">
      <c r="C116" s="57"/>
      <c r="D116" s="53"/>
      <c r="E116" s="57"/>
      <c r="F116" s="53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H116" s="57"/>
      <c r="AI116" s="57"/>
      <c r="AJ116" s="57"/>
    </row>
    <row r="117" spans="3:36" x14ac:dyDescent="0.2">
      <c r="C117" s="57"/>
      <c r="D117" s="53"/>
      <c r="E117" s="57"/>
      <c r="F117" s="53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H117" s="57"/>
      <c r="AI117" s="57"/>
      <c r="AJ117" s="5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AEF8-8A66-4C7A-A885-26F2BA6ABA24}">
  <sheetPr>
    <tabColor rgb="FF92D050"/>
  </sheetPr>
  <dimension ref="A1:AJ7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748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H4" s="52"/>
      <c r="AI4" s="52"/>
      <c r="AJ4" s="52"/>
    </row>
    <row r="5" spans="1:36" x14ac:dyDescent="0.2">
      <c r="A5" s="54" t="s">
        <v>69</v>
      </c>
      <c r="Z5" s="57"/>
      <c r="AB5" s="57"/>
      <c r="AD5" s="57"/>
      <c r="AF5" s="57"/>
      <c r="AH5" s="57"/>
      <c r="AI5" s="57"/>
      <c r="AJ5" s="57"/>
    </row>
    <row r="6" spans="1:36" x14ac:dyDescent="0.2">
      <c r="A6" s="55" t="s">
        <v>750</v>
      </c>
      <c r="B6" s="56" t="s">
        <v>751</v>
      </c>
      <c r="C6" s="77">
        <v>574252.64</v>
      </c>
      <c r="E6" s="77">
        <v>613729.35</v>
      </c>
      <c r="G6" s="77">
        <v>603302.93000000005</v>
      </c>
      <c r="I6" s="77">
        <v>620000</v>
      </c>
      <c r="K6" s="77">
        <v>620000</v>
      </c>
      <c r="M6" s="77">
        <v>624656.5</v>
      </c>
      <c r="O6" s="77">
        <f>PRODUCT(M6,0/12)</f>
        <v>0</v>
      </c>
      <c r="Q6" s="77">
        <f>SUM(M6,O6)</f>
        <v>624656.5</v>
      </c>
      <c r="S6" s="77">
        <v>620000</v>
      </c>
      <c r="U6" s="77">
        <v>620000</v>
      </c>
      <c r="W6" s="77">
        <v>620000</v>
      </c>
      <c r="Y6" s="77">
        <f>SUM(W6,-I6)</f>
        <v>0</v>
      </c>
      <c r="Z6" s="57"/>
      <c r="AA6" s="58">
        <f>IF(W6=0,"N/A",PRODUCT(Y6,1/I6))</f>
        <v>0</v>
      </c>
      <c r="AB6" s="57"/>
      <c r="AC6" s="77">
        <f>SUM(W6,-Q6)</f>
        <v>-4656.5</v>
      </c>
      <c r="AD6" s="57"/>
      <c r="AE6" s="58">
        <f>IF(W6=0,"N/A",PRODUCT(AC6,1/Q6))</f>
        <v>-7.4544969915465538E-3</v>
      </c>
      <c r="AF6" s="57"/>
      <c r="AH6" s="57"/>
      <c r="AI6" s="57"/>
      <c r="AJ6" s="57"/>
    </row>
    <row r="7" spans="1:36" x14ac:dyDescent="0.2">
      <c r="A7" s="59" t="s">
        <v>752</v>
      </c>
      <c r="B7" s="60" t="s">
        <v>753</v>
      </c>
      <c r="C7" s="79">
        <v>24630</v>
      </c>
      <c r="D7" s="80"/>
      <c r="E7" s="79">
        <v>32300</v>
      </c>
      <c r="F7" s="80"/>
      <c r="G7" s="79">
        <v>0</v>
      </c>
      <c r="H7" s="79"/>
      <c r="I7" s="79">
        <v>35000</v>
      </c>
      <c r="J7" s="79"/>
      <c r="K7" s="79">
        <v>35000</v>
      </c>
      <c r="L7" s="79"/>
      <c r="M7" s="79">
        <v>0</v>
      </c>
      <c r="N7" s="79"/>
      <c r="O7" s="79">
        <f>PRODUCT(M7,0/12)</f>
        <v>0</v>
      </c>
      <c r="P7" s="79"/>
      <c r="Q7" s="79">
        <f>SUM(M7,O7)</f>
        <v>0</v>
      </c>
      <c r="R7" s="79"/>
      <c r="S7" s="79">
        <v>35000</v>
      </c>
      <c r="T7" s="79"/>
      <c r="U7" s="79">
        <v>35000</v>
      </c>
      <c r="V7" s="79"/>
      <c r="W7" s="79">
        <v>35000</v>
      </c>
      <c r="X7" s="79"/>
      <c r="Y7" s="79">
        <f>SUM(W7,-I7)</f>
        <v>0</v>
      </c>
      <c r="Z7" s="62"/>
      <c r="AA7" s="63">
        <f>IF(W7=0,"N/A",PRODUCT(Y7,1/I7))</f>
        <v>0</v>
      </c>
      <c r="AB7" s="62"/>
      <c r="AC7" s="79">
        <f>SUM(W7,-Q7)</f>
        <v>35000</v>
      </c>
      <c r="AD7" s="62"/>
      <c r="AE7" s="63" t="e">
        <f>IF(W7=0,"N/A",PRODUCT(AC7,1/Q7))</f>
        <v>#DIV/0!</v>
      </c>
      <c r="AF7" s="57"/>
      <c r="AH7" s="57"/>
      <c r="AI7" s="57"/>
      <c r="AJ7" s="57"/>
    </row>
    <row r="8" spans="1:36" x14ac:dyDescent="0.2">
      <c r="A8" s="64" t="s">
        <v>70</v>
      </c>
      <c r="C8" s="81">
        <f>SUM(C6:C7)</f>
        <v>598882.64</v>
      </c>
      <c r="E8" s="81">
        <f>SUM(E6:E7)</f>
        <v>646029.35</v>
      </c>
      <c r="G8" s="81">
        <f>SUM(G6:G7)</f>
        <v>603302.93000000005</v>
      </c>
      <c r="I8" s="81">
        <f>SUM(I6:I7)</f>
        <v>655000</v>
      </c>
      <c r="K8" s="81">
        <f>SUM(K6:K7)</f>
        <v>655000</v>
      </c>
      <c r="M8" s="81">
        <f>SUM(M6:M7)</f>
        <v>624656.5</v>
      </c>
      <c r="O8" s="81">
        <f>SUM(O6:O7)</f>
        <v>0</v>
      </c>
      <c r="Q8" s="81">
        <f>SUM(Q6:Q7)</f>
        <v>624656.5</v>
      </c>
      <c r="S8" s="81">
        <f>SUM(S6:S7)</f>
        <v>655000</v>
      </c>
      <c r="U8" s="81">
        <f>SUM(U6:U7)</f>
        <v>655000</v>
      </c>
      <c r="W8" s="81">
        <f>SUM(W6:W7)</f>
        <v>655000</v>
      </c>
      <c r="Y8" s="81">
        <f>SUM(Y6:Y7)</f>
        <v>0</v>
      </c>
      <c r="Z8" s="57"/>
      <c r="AA8" s="65">
        <f>IF(W8=0,"N/A",PRODUCT(Y8,1/I8))</f>
        <v>0</v>
      </c>
      <c r="AB8" s="57"/>
      <c r="AC8" s="81">
        <f>SUM(AC6:AC7)</f>
        <v>30343.5</v>
      </c>
      <c r="AD8" s="57"/>
      <c r="AE8" s="65">
        <f>IF(W8=0,"N/A",PRODUCT(AC8,1/Q8))</f>
        <v>4.8576297533124202E-2</v>
      </c>
      <c r="AF8" s="57"/>
      <c r="AH8" s="57"/>
      <c r="AI8" s="57"/>
      <c r="AJ8" s="57"/>
    </row>
    <row r="9" spans="1:36" x14ac:dyDescent="0.2">
      <c r="Z9" s="57"/>
      <c r="AA9" s="58"/>
      <c r="AB9" s="57"/>
      <c r="AD9" s="57"/>
      <c r="AE9" s="58"/>
      <c r="AF9" s="57"/>
      <c r="AH9" s="57"/>
      <c r="AI9" s="57"/>
      <c r="AJ9" s="57"/>
    </row>
    <row r="10" spans="1:36" ht="13.5" thickBot="1" x14ac:dyDescent="0.25">
      <c r="A10" s="67" t="s">
        <v>749</v>
      </c>
      <c r="C10" s="83">
        <f>SUM(C8)</f>
        <v>598882.64</v>
      </c>
      <c r="E10" s="83">
        <f>SUM(E8)</f>
        <v>646029.35</v>
      </c>
      <c r="G10" s="83">
        <f>SUM(G8)</f>
        <v>603302.93000000005</v>
      </c>
      <c r="I10" s="83">
        <f>SUM(I8)</f>
        <v>655000</v>
      </c>
      <c r="K10" s="83">
        <f>SUM(K8)</f>
        <v>655000</v>
      </c>
      <c r="M10" s="82">
        <f>SUM(M8)</f>
        <v>624656.5</v>
      </c>
      <c r="O10" s="82">
        <f>SUM(O8)</f>
        <v>0</v>
      </c>
      <c r="Q10" s="83">
        <f>SUM(Q8)</f>
        <v>624656.5</v>
      </c>
      <c r="S10" s="82">
        <f>SUM(S8)</f>
        <v>655000</v>
      </c>
      <c r="U10" s="82">
        <f>SUM(U8)</f>
        <v>655000</v>
      </c>
      <c r="W10" s="83">
        <f>SUM(W8)</f>
        <v>655000</v>
      </c>
      <c r="Y10" s="82">
        <f>SUM(Y8)</f>
        <v>0</v>
      </c>
      <c r="Z10" s="57"/>
      <c r="AA10" s="125">
        <f>IF(W10=0,"N/A",PRODUCT(Y10,1/I10))</f>
        <v>0</v>
      </c>
      <c r="AB10" s="57"/>
      <c r="AC10" s="82">
        <f>SUM(AC8)</f>
        <v>30343.5</v>
      </c>
      <c r="AD10" s="57"/>
      <c r="AE10" s="125">
        <f>IF(W10=0,"N/A",PRODUCT(AC10,1/Q10))</f>
        <v>4.8576297533124202E-2</v>
      </c>
      <c r="AF10" s="57"/>
      <c r="AH10" s="57"/>
      <c r="AI10" s="57"/>
      <c r="AJ10" s="57"/>
    </row>
    <row r="11" spans="1:36" ht="13.5" thickTop="1" x14ac:dyDescent="0.2">
      <c r="Z11" s="57"/>
      <c r="AB11" s="57"/>
      <c r="AD11" s="57"/>
      <c r="AF11" s="57"/>
      <c r="AH11" s="57"/>
      <c r="AI11" s="57"/>
      <c r="AJ11" s="57"/>
    </row>
    <row r="12" spans="1:36" x14ac:dyDescent="0.2">
      <c r="Z12" s="57"/>
      <c r="AB12" s="57"/>
      <c r="AD12" s="57"/>
      <c r="AF12" s="57"/>
      <c r="AH12" s="57"/>
      <c r="AI12" s="57"/>
      <c r="AJ12" s="57"/>
    </row>
    <row r="13" spans="1:36" x14ac:dyDescent="0.2">
      <c r="Z13" s="57"/>
      <c r="AB13" s="57"/>
      <c r="AD13" s="57"/>
      <c r="AF13" s="57"/>
      <c r="AH13" s="57"/>
      <c r="AI13" s="57"/>
      <c r="AJ13" s="57"/>
    </row>
    <row r="14" spans="1:36" x14ac:dyDescent="0.2">
      <c r="Z14" s="57"/>
      <c r="AB14" s="57"/>
      <c r="AD14" s="57"/>
      <c r="AF14" s="57"/>
      <c r="AH14" s="57"/>
      <c r="AI14" s="57"/>
      <c r="AJ14" s="57"/>
    </row>
    <row r="15" spans="1:36" x14ac:dyDescent="0.2">
      <c r="Z15" s="57"/>
      <c r="AB15" s="57"/>
      <c r="AD15" s="57"/>
      <c r="AF15" s="57"/>
      <c r="AH15" s="57"/>
      <c r="AI15" s="57"/>
      <c r="AJ15" s="57"/>
    </row>
    <row r="16" spans="1:36" x14ac:dyDescent="0.2">
      <c r="Z16" s="57"/>
      <c r="AB16" s="57"/>
      <c r="AD16" s="57"/>
      <c r="AF16" s="57"/>
      <c r="AH16" s="57"/>
      <c r="AI16" s="57"/>
      <c r="AJ16" s="57"/>
    </row>
    <row r="17" spans="26:36" x14ac:dyDescent="0.2">
      <c r="Z17" s="57"/>
      <c r="AB17" s="57"/>
      <c r="AD17" s="57"/>
      <c r="AF17" s="57"/>
      <c r="AH17" s="57"/>
      <c r="AI17" s="57"/>
      <c r="AJ17" s="57"/>
    </row>
    <row r="18" spans="26:36" x14ac:dyDescent="0.2">
      <c r="Z18" s="57"/>
      <c r="AB18" s="57"/>
      <c r="AD18" s="57"/>
      <c r="AF18" s="57"/>
      <c r="AH18" s="57"/>
      <c r="AI18" s="57"/>
      <c r="AJ18" s="57"/>
    </row>
    <row r="19" spans="26:36" x14ac:dyDescent="0.2">
      <c r="Z19" s="57"/>
      <c r="AB19" s="57"/>
      <c r="AD19" s="57"/>
      <c r="AF19" s="57"/>
      <c r="AH19" s="57"/>
      <c r="AI19" s="57"/>
      <c r="AJ19" s="57"/>
    </row>
    <row r="20" spans="26:36" x14ac:dyDescent="0.2">
      <c r="Z20" s="57"/>
      <c r="AB20" s="57"/>
      <c r="AD20" s="57"/>
      <c r="AF20" s="57"/>
      <c r="AH20" s="57"/>
      <c r="AI20" s="57"/>
      <c r="AJ20" s="57"/>
    </row>
    <row r="21" spans="26:36" x14ac:dyDescent="0.2">
      <c r="Z21" s="57"/>
      <c r="AB21" s="57"/>
      <c r="AD21" s="57"/>
      <c r="AF21" s="57"/>
      <c r="AH21" s="57"/>
      <c r="AI21" s="57"/>
      <c r="AJ21" s="57"/>
    </row>
    <row r="22" spans="26:36" x14ac:dyDescent="0.2">
      <c r="Z22" s="57"/>
      <c r="AB22" s="57"/>
      <c r="AD22" s="57"/>
      <c r="AF22" s="57"/>
      <c r="AH22" s="57"/>
      <c r="AI22" s="57"/>
      <c r="AJ22" s="57"/>
    </row>
    <row r="23" spans="26:36" x14ac:dyDescent="0.2">
      <c r="Z23" s="57"/>
      <c r="AB23" s="57"/>
      <c r="AD23" s="57"/>
      <c r="AF23" s="57"/>
      <c r="AH23" s="57"/>
      <c r="AI23" s="57"/>
      <c r="AJ23" s="57"/>
    </row>
    <row r="24" spans="26:36" x14ac:dyDescent="0.2">
      <c r="Z24" s="57"/>
      <c r="AB24" s="57"/>
      <c r="AD24" s="57"/>
      <c r="AF24" s="57"/>
      <c r="AH24" s="57"/>
      <c r="AI24" s="57"/>
      <c r="AJ24" s="57"/>
    </row>
    <row r="25" spans="26:36" x14ac:dyDescent="0.2">
      <c r="Z25" s="57"/>
      <c r="AB25" s="57"/>
      <c r="AD25" s="57"/>
      <c r="AF25" s="57"/>
      <c r="AH25" s="57"/>
      <c r="AI25" s="57"/>
      <c r="AJ25" s="57"/>
    </row>
    <row r="26" spans="26:36" x14ac:dyDescent="0.2">
      <c r="Z26" s="57"/>
      <c r="AB26" s="57"/>
      <c r="AD26" s="57"/>
      <c r="AF26" s="57"/>
      <c r="AH26" s="57"/>
      <c r="AI26" s="57"/>
      <c r="AJ26" s="57"/>
    </row>
    <row r="27" spans="26:36" x14ac:dyDescent="0.2">
      <c r="Z27" s="57"/>
      <c r="AB27" s="57"/>
      <c r="AD27" s="57"/>
      <c r="AF27" s="57"/>
      <c r="AH27" s="57"/>
      <c r="AI27" s="57"/>
      <c r="AJ27" s="57"/>
    </row>
    <row r="28" spans="26:36" x14ac:dyDescent="0.2">
      <c r="Z28" s="57"/>
      <c r="AB28" s="57"/>
      <c r="AD28" s="57"/>
      <c r="AF28" s="57"/>
      <c r="AH28" s="57"/>
      <c r="AI28" s="57"/>
      <c r="AJ28" s="57"/>
    </row>
    <row r="29" spans="26:36" x14ac:dyDescent="0.2">
      <c r="Z29" s="57"/>
      <c r="AB29" s="57"/>
      <c r="AD29" s="57"/>
      <c r="AF29" s="57"/>
      <c r="AH29" s="57"/>
      <c r="AI29" s="57"/>
      <c r="AJ29" s="57"/>
    </row>
    <row r="30" spans="26:36" x14ac:dyDescent="0.2">
      <c r="Z30" s="57"/>
      <c r="AB30" s="57"/>
      <c r="AD30" s="57"/>
      <c r="AF30" s="57"/>
      <c r="AH30" s="57"/>
      <c r="AI30" s="57"/>
      <c r="AJ30" s="57"/>
    </row>
    <row r="31" spans="26:36" x14ac:dyDescent="0.2">
      <c r="Z31" s="57"/>
      <c r="AB31" s="57"/>
      <c r="AD31" s="57"/>
      <c r="AF31" s="57"/>
      <c r="AH31" s="57"/>
      <c r="AI31" s="57"/>
      <c r="AJ31" s="57"/>
    </row>
    <row r="32" spans="26:36" x14ac:dyDescent="0.2">
      <c r="Z32" s="57"/>
      <c r="AB32" s="57"/>
      <c r="AD32" s="57"/>
      <c r="AF32" s="57"/>
      <c r="AH32" s="57"/>
      <c r="AI32" s="57"/>
      <c r="AJ32" s="57"/>
    </row>
    <row r="33" spans="26:36" x14ac:dyDescent="0.2">
      <c r="Z33" s="57"/>
      <c r="AB33" s="57"/>
      <c r="AD33" s="57"/>
      <c r="AF33" s="57"/>
      <c r="AH33" s="57"/>
      <c r="AI33" s="57"/>
      <c r="AJ33" s="57"/>
    </row>
    <row r="34" spans="26:36" x14ac:dyDescent="0.2">
      <c r="Z34" s="57"/>
      <c r="AB34" s="57"/>
      <c r="AD34" s="57"/>
      <c r="AF34" s="57"/>
      <c r="AH34" s="57"/>
      <c r="AI34" s="57"/>
      <c r="AJ34" s="57"/>
    </row>
    <row r="35" spans="26:36" x14ac:dyDescent="0.2">
      <c r="Z35" s="57"/>
      <c r="AB35" s="57"/>
      <c r="AD35" s="57"/>
      <c r="AF35" s="57"/>
      <c r="AH35" s="57"/>
      <c r="AI35" s="57"/>
      <c r="AJ35" s="57"/>
    </row>
    <row r="36" spans="26:36" x14ac:dyDescent="0.2">
      <c r="Z36" s="57"/>
      <c r="AB36" s="57"/>
      <c r="AD36" s="57"/>
      <c r="AF36" s="57"/>
      <c r="AH36" s="57"/>
      <c r="AI36" s="57"/>
      <c r="AJ36" s="57"/>
    </row>
    <row r="37" spans="26:36" x14ac:dyDescent="0.2">
      <c r="Z37" s="57"/>
      <c r="AB37" s="57"/>
      <c r="AD37" s="57"/>
      <c r="AF37" s="57"/>
      <c r="AH37" s="57"/>
      <c r="AI37" s="57"/>
      <c r="AJ37" s="57"/>
    </row>
    <row r="38" spans="26:36" x14ac:dyDescent="0.2">
      <c r="Z38" s="57"/>
      <c r="AB38" s="57"/>
      <c r="AD38" s="57"/>
      <c r="AF38" s="57"/>
      <c r="AH38" s="57"/>
      <c r="AI38" s="57"/>
      <c r="AJ38" s="57"/>
    </row>
    <row r="39" spans="26:36" x14ac:dyDescent="0.2">
      <c r="Z39" s="57"/>
      <c r="AB39" s="57"/>
      <c r="AD39" s="57"/>
      <c r="AF39" s="57"/>
      <c r="AH39" s="57"/>
      <c r="AI39" s="57"/>
      <c r="AJ39" s="57"/>
    </row>
    <row r="40" spans="26:36" x14ac:dyDescent="0.2">
      <c r="Z40" s="57"/>
      <c r="AB40" s="57"/>
      <c r="AD40" s="57"/>
      <c r="AF40" s="57"/>
      <c r="AH40" s="57"/>
      <c r="AI40" s="57"/>
      <c r="AJ40" s="57"/>
    </row>
    <row r="41" spans="26:36" x14ac:dyDescent="0.2">
      <c r="Z41" s="57"/>
      <c r="AB41" s="57"/>
      <c r="AD41" s="57"/>
      <c r="AF41" s="57"/>
      <c r="AH41" s="57"/>
      <c r="AI41" s="57"/>
      <c r="AJ41" s="57"/>
    </row>
    <row r="42" spans="26:36" x14ac:dyDescent="0.2">
      <c r="Z42" s="57"/>
      <c r="AB42" s="57"/>
      <c r="AD42" s="57"/>
      <c r="AF42" s="57"/>
      <c r="AH42" s="57"/>
      <c r="AI42" s="57"/>
      <c r="AJ42" s="57"/>
    </row>
    <row r="43" spans="26:36" x14ac:dyDescent="0.2">
      <c r="Z43" s="57"/>
      <c r="AB43" s="57"/>
      <c r="AD43" s="57"/>
      <c r="AF43" s="57"/>
      <c r="AH43" s="57"/>
      <c r="AI43" s="57"/>
      <c r="AJ43" s="57"/>
    </row>
    <row r="44" spans="26:36" x14ac:dyDescent="0.2">
      <c r="Z44" s="57"/>
      <c r="AB44" s="57"/>
      <c r="AD44" s="57"/>
      <c r="AF44" s="57"/>
      <c r="AH44" s="57"/>
      <c r="AI44" s="57"/>
      <c r="AJ44" s="57"/>
    </row>
    <row r="45" spans="26:36" x14ac:dyDescent="0.2">
      <c r="Z45" s="57"/>
      <c r="AB45" s="57"/>
      <c r="AD45" s="57"/>
      <c r="AF45" s="57"/>
      <c r="AH45" s="57"/>
      <c r="AI45" s="57"/>
      <c r="AJ45" s="57"/>
    </row>
    <row r="46" spans="26:36" x14ac:dyDescent="0.2">
      <c r="Z46" s="57"/>
      <c r="AB46" s="57"/>
      <c r="AD46" s="57"/>
      <c r="AF46" s="57"/>
      <c r="AH46" s="57"/>
      <c r="AI46" s="57"/>
      <c r="AJ46" s="57"/>
    </row>
    <row r="47" spans="26:36" x14ac:dyDescent="0.2">
      <c r="Z47" s="57"/>
      <c r="AB47" s="57"/>
      <c r="AD47" s="57"/>
      <c r="AF47" s="57"/>
      <c r="AH47" s="57"/>
      <c r="AI47" s="57"/>
      <c r="AJ47" s="57"/>
    </row>
    <row r="48" spans="26:36" x14ac:dyDescent="0.2">
      <c r="Z48" s="57"/>
      <c r="AB48" s="57"/>
      <c r="AD48" s="57"/>
      <c r="AF48" s="57"/>
      <c r="AH48" s="57"/>
      <c r="AI48" s="57"/>
      <c r="AJ48" s="57"/>
    </row>
    <row r="49" spans="26:36" x14ac:dyDescent="0.2">
      <c r="Z49" s="57"/>
      <c r="AB49" s="57"/>
      <c r="AD49" s="57"/>
      <c r="AF49" s="57"/>
      <c r="AH49" s="57"/>
      <c r="AI49" s="57"/>
      <c r="AJ49" s="57"/>
    </row>
    <row r="50" spans="26:36" x14ac:dyDescent="0.2">
      <c r="Z50" s="57"/>
      <c r="AB50" s="57"/>
      <c r="AD50" s="57"/>
      <c r="AF50" s="57"/>
      <c r="AH50" s="57"/>
      <c r="AI50" s="57"/>
      <c r="AJ50" s="57"/>
    </row>
    <row r="51" spans="26:36" x14ac:dyDescent="0.2">
      <c r="Z51" s="57"/>
      <c r="AB51" s="57"/>
      <c r="AD51" s="57"/>
      <c r="AF51" s="57"/>
      <c r="AH51" s="57"/>
      <c r="AI51" s="57"/>
      <c r="AJ51" s="57"/>
    </row>
    <row r="52" spans="26:36" x14ac:dyDescent="0.2">
      <c r="Z52" s="57"/>
      <c r="AB52" s="57"/>
      <c r="AD52" s="57"/>
      <c r="AF52" s="57"/>
      <c r="AH52" s="57"/>
      <c r="AI52" s="57"/>
      <c r="AJ52" s="57"/>
    </row>
    <row r="53" spans="26:36" x14ac:dyDescent="0.2">
      <c r="Z53" s="57"/>
      <c r="AB53" s="57"/>
      <c r="AD53" s="57"/>
      <c r="AF53" s="57"/>
      <c r="AH53" s="57"/>
      <c r="AI53" s="57"/>
      <c r="AJ53" s="57"/>
    </row>
    <row r="54" spans="26:36" x14ac:dyDescent="0.2">
      <c r="Z54" s="57"/>
      <c r="AB54" s="57"/>
      <c r="AD54" s="57"/>
      <c r="AF54" s="57"/>
      <c r="AH54" s="57"/>
      <c r="AI54" s="57"/>
      <c r="AJ54" s="57"/>
    </row>
    <row r="55" spans="26:36" x14ac:dyDescent="0.2">
      <c r="Z55" s="57"/>
      <c r="AB55" s="57"/>
      <c r="AD55" s="57"/>
      <c r="AF55" s="57"/>
      <c r="AH55" s="57"/>
      <c r="AI55" s="57"/>
      <c r="AJ55" s="57"/>
    </row>
    <row r="56" spans="26:36" x14ac:dyDescent="0.2">
      <c r="Z56" s="57"/>
      <c r="AB56" s="57"/>
      <c r="AD56" s="57"/>
      <c r="AF56" s="57"/>
      <c r="AH56" s="57"/>
      <c r="AI56" s="57"/>
      <c r="AJ56" s="57"/>
    </row>
    <row r="57" spans="26:36" x14ac:dyDescent="0.2">
      <c r="Z57" s="57"/>
      <c r="AB57" s="57"/>
      <c r="AD57" s="57"/>
      <c r="AF57" s="57"/>
      <c r="AH57" s="57"/>
      <c r="AI57" s="57"/>
      <c r="AJ57" s="57"/>
    </row>
    <row r="58" spans="26:36" x14ac:dyDescent="0.2">
      <c r="Z58" s="57"/>
      <c r="AB58" s="57"/>
      <c r="AD58" s="57"/>
      <c r="AF58" s="57"/>
      <c r="AH58" s="57"/>
      <c r="AI58" s="57"/>
      <c r="AJ58" s="57"/>
    </row>
    <row r="59" spans="26:36" x14ac:dyDescent="0.2">
      <c r="Z59" s="57"/>
      <c r="AB59" s="57"/>
      <c r="AD59" s="57"/>
      <c r="AF59" s="57"/>
      <c r="AH59" s="57"/>
      <c r="AI59" s="57"/>
      <c r="AJ59" s="57"/>
    </row>
    <row r="60" spans="26:36" x14ac:dyDescent="0.2">
      <c r="Z60" s="57"/>
      <c r="AB60" s="57"/>
      <c r="AD60" s="57"/>
      <c r="AF60" s="57"/>
      <c r="AH60" s="57"/>
      <c r="AI60" s="57"/>
      <c r="AJ60" s="57"/>
    </row>
    <row r="61" spans="26:36" x14ac:dyDescent="0.2">
      <c r="Z61" s="57"/>
      <c r="AB61" s="57"/>
      <c r="AD61" s="57"/>
      <c r="AF61" s="57"/>
      <c r="AH61" s="57"/>
      <c r="AI61" s="57"/>
      <c r="AJ61" s="57"/>
    </row>
    <row r="62" spans="26:36" x14ac:dyDescent="0.2">
      <c r="Z62" s="57"/>
      <c r="AB62" s="57"/>
      <c r="AD62" s="57"/>
      <c r="AF62" s="57"/>
      <c r="AH62" s="57"/>
      <c r="AI62" s="57"/>
      <c r="AJ62" s="57"/>
    </row>
    <row r="63" spans="26:36" x14ac:dyDescent="0.2">
      <c r="Z63" s="57"/>
      <c r="AB63" s="57"/>
      <c r="AD63" s="57"/>
      <c r="AF63" s="57"/>
      <c r="AH63" s="57"/>
      <c r="AI63" s="57"/>
      <c r="AJ63" s="57"/>
    </row>
    <row r="64" spans="26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4F41-72AB-4948-99C6-C15054D0F112}">
  <sheetPr>
    <tabColor rgb="FF92D050"/>
  </sheetPr>
  <dimension ref="A1:AJ7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1422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H4" s="52"/>
      <c r="AI4" s="52"/>
      <c r="AJ4" s="52"/>
    </row>
    <row r="5" spans="1:36" ht="12.75" customHeight="1" x14ac:dyDescent="0.2">
      <c r="A5" s="54" t="s">
        <v>1366</v>
      </c>
      <c r="Z5" s="57"/>
      <c r="AB5" s="57"/>
      <c r="AD5" s="57"/>
      <c r="AF5" s="57"/>
      <c r="AH5" s="57"/>
      <c r="AI5" s="57"/>
      <c r="AJ5" s="57"/>
    </row>
    <row r="6" spans="1:36" ht="12.75" customHeight="1" x14ac:dyDescent="0.2">
      <c r="A6" s="55" t="s">
        <v>1427</v>
      </c>
      <c r="B6" s="56" t="s">
        <v>1423</v>
      </c>
      <c r="C6" s="77">
        <v>0</v>
      </c>
      <c r="E6" s="77">
        <v>0</v>
      </c>
      <c r="G6" s="77">
        <v>0</v>
      </c>
      <c r="I6" s="77">
        <v>0</v>
      </c>
      <c r="K6" s="77">
        <v>0</v>
      </c>
      <c r="M6" s="77">
        <v>0</v>
      </c>
      <c r="O6" s="77">
        <f>PRODUCT(M6,0/12)</f>
        <v>0</v>
      </c>
      <c r="Q6" s="77">
        <f>SUM(M6,O6)</f>
        <v>0</v>
      </c>
      <c r="S6" s="77">
        <v>0</v>
      </c>
      <c r="U6" s="77">
        <v>0</v>
      </c>
      <c r="W6" s="77">
        <v>200000</v>
      </c>
      <c r="Y6" s="77">
        <f>SUM(W6,-I6)</f>
        <v>200000</v>
      </c>
      <c r="Z6" s="57"/>
      <c r="AA6" s="58" t="e">
        <f>IF(W6=0,"N/A",PRODUCT(Y6,1/I6))</f>
        <v>#DIV/0!</v>
      </c>
      <c r="AB6" s="57"/>
      <c r="AC6" s="77">
        <f>SUM(W6,-Q6)</f>
        <v>200000</v>
      </c>
      <c r="AD6" s="57"/>
      <c r="AE6" s="58" t="e">
        <f>IF(W6=0,"N/A",PRODUCT(AC6,1/Q6))</f>
        <v>#DIV/0!</v>
      </c>
      <c r="AF6" s="57"/>
      <c r="AH6" s="57"/>
      <c r="AI6" s="57"/>
      <c r="AJ6" s="57"/>
    </row>
    <row r="7" spans="1:36" ht="12.75" customHeight="1" x14ac:dyDescent="0.2">
      <c r="A7" s="59" t="s">
        <v>1426</v>
      </c>
      <c r="B7" s="60" t="s">
        <v>1154</v>
      </c>
      <c r="C7" s="79">
        <v>0</v>
      </c>
      <c r="D7" s="80"/>
      <c r="E7" s="79">
        <v>0</v>
      </c>
      <c r="F7" s="80"/>
      <c r="G7" s="79">
        <v>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f>PRODUCT(M7,0/12)</f>
        <v>0</v>
      </c>
      <c r="P7" s="79"/>
      <c r="Q7" s="79">
        <f>SUM(M7,O7)</f>
        <v>0</v>
      </c>
      <c r="R7" s="79"/>
      <c r="S7" s="79">
        <v>0</v>
      </c>
      <c r="T7" s="79"/>
      <c r="U7" s="79">
        <v>0</v>
      </c>
      <c r="V7" s="79"/>
      <c r="W7" s="79">
        <v>862686</v>
      </c>
      <c r="X7" s="79"/>
      <c r="Y7" s="79">
        <f>SUM(W7,-I7)</f>
        <v>862686</v>
      </c>
      <c r="Z7" s="62"/>
      <c r="AA7" s="63" t="e">
        <f>IF(W7=0,"N/A",PRODUCT(Y7,1/I7))</f>
        <v>#DIV/0!</v>
      </c>
      <c r="AB7" s="62"/>
      <c r="AC7" s="79">
        <f>SUM(W7,-Q7)</f>
        <v>862686</v>
      </c>
      <c r="AD7" s="62"/>
      <c r="AE7" s="63" t="e">
        <f>IF(W7=0,"N/A",PRODUCT(AC7,1/Q7))</f>
        <v>#DIV/0!</v>
      </c>
      <c r="AF7" s="57"/>
      <c r="AH7" s="57"/>
      <c r="AI7" s="57"/>
      <c r="AJ7" s="57"/>
    </row>
    <row r="8" spans="1:36" ht="12.75" customHeight="1" x14ac:dyDescent="0.2">
      <c r="A8" s="64" t="s">
        <v>1367</v>
      </c>
      <c r="C8" s="81">
        <f>SUM(C6:C7)</f>
        <v>0</v>
      </c>
      <c r="E8" s="81">
        <f>SUM(E6:E7)</f>
        <v>0</v>
      </c>
      <c r="G8" s="81">
        <f>SUM(G6:G7)</f>
        <v>0</v>
      </c>
      <c r="I8" s="81">
        <f>SUM(I6:I7)</f>
        <v>0</v>
      </c>
      <c r="K8" s="81">
        <f>SUM(K6:K7)</f>
        <v>0</v>
      </c>
      <c r="M8" s="81">
        <f>SUM(M6:M7)</f>
        <v>0</v>
      </c>
      <c r="O8" s="81">
        <f>SUM(O6:O7)</f>
        <v>0</v>
      </c>
      <c r="Q8" s="81">
        <f>SUM(Q6:Q7)</f>
        <v>0</v>
      </c>
      <c r="S8" s="81">
        <f>SUM(S6:S7)</f>
        <v>0</v>
      </c>
      <c r="U8" s="81">
        <f>SUM(U6:U7)</f>
        <v>0</v>
      </c>
      <c r="W8" s="81">
        <f>SUM(W6:W7)</f>
        <v>1062686</v>
      </c>
      <c r="Y8" s="81">
        <f>SUM(Y6:Y7)</f>
        <v>1062686</v>
      </c>
      <c r="Z8" s="57"/>
      <c r="AA8" s="65" t="e">
        <f>IF(W8=0,"N/A",PRODUCT(Y8,1/I8))</f>
        <v>#DIV/0!</v>
      </c>
      <c r="AB8" s="57"/>
      <c r="AC8" s="81">
        <f>SUM(AC6:AC7)</f>
        <v>1062686</v>
      </c>
      <c r="AD8" s="57"/>
      <c r="AE8" s="65" t="e">
        <f>IF(W8=0,"N/A",PRODUCT(AC8,1/Q8))</f>
        <v>#DIV/0!</v>
      </c>
      <c r="AF8" s="57"/>
      <c r="AH8" s="57"/>
      <c r="AI8" s="57"/>
      <c r="AJ8" s="57"/>
    </row>
    <row r="9" spans="1:36" ht="12.75" customHeight="1" x14ac:dyDescent="0.2">
      <c r="Z9" s="57"/>
      <c r="AA9" s="58"/>
      <c r="AB9" s="57"/>
      <c r="AD9" s="57"/>
      <c r="AE9" s="58"/>
      <c r="AF9" s="57"/>
      <c r="AH9" s="57"/>
      <c r="AI9" s="57"/>
      <c r="AJ9" s="57"/>
    </row>
    <row r="10" spans="1:36" ht="12.75" customHeight="1" thickBot="1" x14ac:dyDescent="0.25">
      <c r="A10" s="67" t="s">
        <v>1424</v>
      </c>
      <c r="C10" s="83">
        <f>SUM(C8)</f>
        <v>0</v>
      </c>
      <c r="E10" s="83">
        <f>SUM(E8)</f>
        <v>0</v>
      </c>
      <c r="G10" s="83">
        <f>SUM(G8)</f>
        <v>0</v>
      </c>
      <c r="I10" s="83">
        <f>SUM(I8)</f>
        <v>0</v>
      </c>
      <c r="K10" s="83">
        <f>SUM(K8)</f>
        <v>0</v>
      </c>
      <c r="M10" s="82">
        <f>SUM(M8)</f>
        <v>0</v>
      </c>
      <c r="O10" s="82">
        <f>SUM(O8)</f>
        <v>0</v>
      </c>
      <c r="Q10" s="83">
        <f>SUM(Q8)</f>
        <v>0</v>
      </c>
      <c r="S10" s="82">
        <f>SUM(S8)</f>
        <v>0</v>
      </c>
      <c r="U10" s="82">
        <f>SUM(U8)</f>
        <v>0</v>
      </c>
      <c r="W10" s="83">
        <f>SUM(W8)</f>
        <v>1062686</v>
      </c>
      <c r="Y10" s="82">
        <f>SUM(Y8)</f>
        <v>1062686</v>
      </c>
      <c r="Z10" s="57"/>
      <c r="AA10" s="125" t="e">
        <f>IF(W10=0,"N/A",PRODUCT(Y10,1/I10))</f>
        <v>#DIV/0!</v>
      </c>
      <c r="AB10" s="57"/>
      <c r="AC10" s="82">
        <f>SUM(AC8)</f>
        <v>1062686</v>
      </c>
      <c r="AD10" s="57"/>
      <c r="AE10" s="125" t="e">
        <f>IF(W10=0,"N/A",PRODUCT(AC10,1/Q10))</f>
        <v>#DIV/0!</v>
      </c>
      <c r="AF10" s="57"/>
      <c r="AH10" s="57"/>
      <c r="AI10" s="57"/>
      <c r="AJ10" s="57"/>
    </row>
    <row r="11" spans="1:36" ht="12.75" customHeight="1" thickTop="1" x14ac:dyDescent="0.2">
      <c r="Z11" s="57"/>
      <c r="AB11" s="57"/>
      <c r="AD11" s="57"/>
      <c r="AF11" s="57"/>
      <c r="AH11" s="57"/>
      <c r="AI11" s="57"/>
      <c r="AJ11" s="57"/>
    </row>
    <row r="12" spans="1:36" ht="12.75" customHeight="1" x14ac:dyDescent="0.2">
      <c r="Z12" s="57"/>
      <c r="AB12" s="57"/>
      <c r="AD12" s="57"/>
      <c r="AF12" s="57"/>
      <c r="AH12" s="57"/>
      <c r="AI12" s="57"/>
      <c r="AJ12" s="57"/>
    </row>
    <row r="13" spans="1:36" ht="12.75" customHeight="1" x14ac:dyDescent="0.2">
      <c r="Z13" s="57"/>
      <c r="AB13" s="57"/>
      <c r="AD13" s="57"/>
      <c r="AF13" s="57"/>
      <c r="AH13" s="57"/>
      <c r="AI13" s="57"/>
      <c r="AJ13" s="57"/>
    </row>
    <row r="14" spans="1:36" ht="12.75" customHeight="1" x14ac:dyDescent="0.2">
      <c r="Z14" s="57"/>
      <c r="AB14" s="57"/>
      <c r="AD14" s="57"/>
      <c r="AF14" s="57"/>
      <c r="AH14" s="57"/>
      <c r="AI14" s="57"/>
      <c r="AJ14" s="57"/>
    </row>
    <row r="15" spans="1:36" ht="12.75" customHeight="1" x14ac:dyDescent="0.2">
      <c r="Z15" s="57"/>
      <c r="AB15" s="57"/>
      <c r="AD15" s="57"/>
      <c r="AF15" s="57"/>
      <c r="AH15" s="57"/>
      <c r="AI15" s="57"/>
      <c r="AJ15" s="57"/>
    </row>
    <row r="16" spans="1:36" ht="12.75" customHeight="1" x14ac:dyDescent="0.2">
      <c r="Z16" s="57"/>
      <c r="AB16" s="57"/>
      <c r="AD16" s="57"/>
      <c r="AF16" s="57"/>
      <c r="AH16" s="57"/>
      <c r="AI16" s="57"/>
      <c r="AJ16" s="57"/>
    </row>
    <row r="17" spans="26:36" ht="12.75" customHeight="1" x14ac:dyDescent="0.2">
      <c r="Z17" s="57"/>
      <c r="AB17" s="57"/>
      <c r="AD17" s="57"/>
      <c r="AF17" s="57"/>
      <c r="AH17" s="57"/>
      <c r="AI17" s="57"/>
      <c r="AJ17" s="57"/>
    </row>
    <row r="18" spans="26:36" ht="12.75" customHeight="1" x14ac:dyDescent="0.2">
      <c r="Z18" s="57"/>
      <c r="AB18" s="57"/>
      <c r="AD18" s="57"/>
      <c r="AF18" s="57"/>
      <c r="AH18" s="57"/>
      <c r="AI18" s="57"/>
      <c r="AJ18" s="57"/>
    </row>
    <row r="19" spans="26:36" ht="12.75" customHeight="1" x14ac:dyDescent="0.2">
      <c r="Z19" s="57"/>
      <c r="AB19" s="57"/>
      <c r="AD19" s="57"/>
      <c r="AF19" s="57"/>
      <c r="AH19" s="57"/>
      <c r="AI19" s="57"/>
      <c r="AJ19" s="57"/>
    </row>
    <row r="20" spans="26:36" ht="12.75" customHeight="1" x14ac:dyDescent="0.2">
      <c r="Z20" s="57"/>
      <c r="AB20" s="57"/>
      <c r="AD20" s="57"/>
      <c r="AF20" s="57"/>
      <c r="AH20" s="57"/>
      <c r="AI20" s="57"/>
      <c r="AJ20" s="57"/>
    </row>
    <row r="21" spans="26:36" ht="12.75" customHeight="1" x14ac:dyDescent="0.2">
      <c r="Z21" s="57"/>
      <c r="AB21" s="57"/>
      <c r="AD21" s="57"/>
      <c r="AF21" s="57"/>
      <c r="AH21" s="57"/>
      <c r="AI21" s="57"/>
      <c r="AJ21" s="57"/>
    </row>
    <row r="22" spans="26:36" ht="12.75" customHeight="1" x14ac:dyDescent="0.2">
      <c r="Z22" s="57"/>
      <c r="AB22" s="57"/>
      <c r="AD22" s="57"/>
      <c r="AF22" s="57"/>
      <c r="AH22" s="57"/>
      <c r="AI22" s="57"/>
      <c r="AJ22" s="57"/>
    </row>
    <row r="23" spans="26:36" x14ac:dyDescent="0.2">
      <c r="Z23" s="57"/>
      <c r="AB23" s="57"/>
      <c r="AD23" s="57"/>
      <c r="AF23" s="57"/>
      <c r="AH23" s="57"/>
      <c r="AI23" s="57"/>
      <c r="AJ23" s="57"/>
    </row>
    <row r="24" spans="26:36" x14ac:dyDescent="0.2">
      <c r="Z24" s="57"/>
      <c r="AB24" s="57"/>
      <c r="AD24" s="57"/>
      <c r="AF24" s="57"/>
      <c r="AH24" s="57"/>
      <c r="AI24" s="57"/>
      <c r="AJ24" s="57"/>
    </row>
    <row r="25" spans="26:36" x14ac:dyDescent="0.2">
      <c r="Z25" s="57"/>
      <c r="AB25" s="57"/>
      <c r="AD25" s="57"/>
      <c r="AF25" s="57"/>
      <c r="AH25" s="57"/>
      <c r="AI25" s="57"/>
      <c r="AJ25" s="57"/>
    </row>
    <row r="26" spans="26:36" x14ac:dyDescent="0.2">
      <c r="Z26" s="57"/>
      <c r="AB26" s="57"/>
      <c r="AD26" s="57"/>
      <c r="AF26" s="57"/>
      <c r="AH26" s="57"/>
      <c r="AI26" s="57"/>
      <c r="AJ26" s="57"/>
    </row>
    <row r="27" spans="26:36" x14ac:dyDescent="0.2">
      <c r="Z27" s="57"/>
      <c r="AB27" s="57"/>
      <c r="AD27" s="57"/>
      <c r="AF27" s="57"/>
      <c r="AH27" s="57"/>
      <c r="AI27" s="57"/>
      <c r="AJ27" s="57"/>
    </row>
    <row r="28" spans="26:36" x14ac:dyDescent="0.2">
      <c r="Z28" s="57"/>
      <c r="AB28" s="57"/>
      <c r="AD28" s="57"/>
      <c r="AF28" s="57"/>
      <c r="AH28" s="57"/>
      <c r="AI28" s="57"/>
      <c r="AJ28" s="57"/>
    </row>
    <row r="29" spans="26:36" x14ac:dyDescent="0.2">
      <c r="Z29" s="57"/>
      <c r="AB29" s="57"/>
      <c r="AD29" s="57"/>
      <c r="AF29" s="57"/>
      <c r="AH29" s="57"/>
      <c r="AI29" s="57"/>
      <c r="AJ29" s="57"/>
    </row>
    <row r="30" spans="26:36" x14ac:dyDescent="0.2">
      <c r="Z30" s="57"/>
      <c r="AB30" s="57"/>
      <c r="AD30" s="57"/>
      <c r="AF30" s="57"/>
      <c r="AH30" s="57"/>
      <c r="AI30" s="57"/>
      <c r="AJ30" s="57"/>
    </row>
    <row r="31" spans="26:36" x14ac:dyDescent="0.2">
      <c r="Z31" s="57"/>
      <c r="AB31" s="57"/>
      <c r="AD31" s="57"/>
      <c r="AF31" s="57"/>
      <c r="AH31" s="57"/>
      <c r="AI31" s="57"/>
      <c r="AJ31" s="57"/>
    </row>
    <row r="32" spans="26:36" x14ac:dyDescent="0.2">
      <c r="Z32" s="57"/>
      <c r="AB32" s="57"/>
      <c r="AD32" s="57"/>
      <c r="AF32" s="57"/>
      <c r="AH32" s="57"/>
      <c r="AI32" s="57"/>
      <c r="AJ32" s="57"/>
    </row>
    <row r="33" spans="26:36" x14ac:dyDescent="0.2">
      <c r="Z33" s="57"/>
      <c r="AB33" s="57"/>
      <c r="AD33" s="57"/>
      <c r="AF33" s="57"/>
      <c r="AH33" s="57"/>
      <c r="AI33" s="57"/>
      <c r="AJ33" s="57"/>
    </row>
    <row r="34" spans="26:36" x14ac:dyDescent="0.2">
      <c r="Z34" s="57"/>
      <c r="AB34" s="57"/>
      <c r="AD34" s="57"/>
      <c r="AF34" s="57"/>
      <c r="AH34" s="57"/>
      <c r="AI34" s="57"/>
      <c r="AJ34" s="57"/>
    </row>
    <row r="35" spans="26:36" x14ac:dyDescent="0.2">
      <c r="Z35" s="57"/>
      <c r="AB35" s="57"/>
      <c r="AD35" s="57"/>
      <c r="AF35" s="57"/>
      <c r="AH35" s="57"/>
      <c r="AI35" s="57"/>
      <c r="AJ35" s="57"/>
    </row>
    <row r="36" spans="26:36" x14ac:dyDescent="0.2">
      <c r="Z36" s="57"/>
      <c r="AB36" s="57"/>
      <c r="AD36" s="57"/>
      <c r="AF36" s="57"/>
      <c r="AH36" s="57"/>
      <c r="AI36" s="57"/>
      <c r="AJ36" s="57"/>
    </row>
    <row r="37" spans="26:36" x14ac:dyDescent="0.2">
      <c r="Z37" s="57"/>
      <c r="AB37" s="57"/>
      <c r="AD37" s="57"/>
      <c r="AF37" s="57"/>
      <c r="AH37" s="57"/>
      <c r="AI37" s="57"/>
      <c r="AJ37" s="57"/>
    </row>
    <row r="38" spans="26:36" x14ac:dyDescent="0.2">
      <c r="Z38" s="57"/>
      <c r="AB38" s="57"/>
      <c r="AD38" s="57"/>
      <c r="AF38" s="57"/>
      <c r="AH38" s="57"/>
      <c r="AI38" s="57"/>
      <c r="AJ38" s="57"/>
    </row>
    <row r="39" spans="26:36" x14ac:dyDescent="0.2">
      <c r="Z39" s="57"/>
      <c r="AB39" s="57"/>
      <c r="AD39" s="57"/>
      <c r="AF39" s="57"/>
      <c r="AH39" s="57"/>
      <c r="AI39" s="57"/>
      <c r="AJ39" s="57"/>
    </row>
    <row r="40" spans="26:36" x14ac:dyDescent="0.2">
      <c r="Z40" s="57"/>
      <c r="AB40" s="57"/>
      <c r="AD40" s="57"/>
      <c r="AF40" s="57"/>
      <c r="AH40" s="57"/>
      <c r="AI40" s="57"/>
      <c r="AJ40" s="57"/>
    </row>
    <row r="41" spans="26:36" x14ac:dyDescent="0.2">
      <c r="Z41" s="57"/>
      <c r="AB41" s="57"/>
      <c r="AD41" s="57"/>
      <c r="AF41" s="57"/>
      <c r="AH41" s="57"/>
      <c r="AI41" s="57"/>
      <c r="AJ41" s="57"/>
    </row>
    <row r="42" spans="26:36" x14ac:dyDescent="0.2">
      <c r="Z42" s="57"/>
      <c r="AB42" s="57"/>
      <c r="AD42" s="57"/>
      <c r="AF42" s="57"/>
      <c r="AH42" s="57"/>
      <c r="AI42" s="57"/>
      <c r="AJ42" s="57"/>
    </row>
    <row r="43" spans="26:36" x14ac:dyDescent="0.2">
      <c r="Z43" s="57"/>
      <c r="AB43" s="57"/>
      <c r="AD43" s="57"/>
      <c r="AF43" s="57"/>
      <c r="AH43" s="57"/>
      <c r="AI43" s="57"/>
      <c r="AJ43" s="57"/>
    </row>
    <row r="44" spans="26:36" x14ac:dyDescent="0.2">
      <c r="Z44" s="57"/>
      <c r="AB44" s="57"/>
      <c r="AD44" s="57"/>
      <c r="AF44" s="57"/>
      <c r="AH44" s="57"/>
      <c r="AI44" s="57"/>
      <c r="AJ44" s="57"/>
    </row>
    <row r="45" spans="26:36" x14ac:dyDescent="0.2">
      <c r="Z45" s="57"/>
      <c r="AB45" s="57"/>
      <c r="AD45" s="57"/>
      <c r="AF45" s="57"/>
      <c r="AH45" s="57"/>
      <c r="AI45" s="57"/>
      <c r="AJ45" s="57"/>
    </row>
    <row r="46" spans="26:36" x14ac:dyDescent="0.2">
      <c r="Z46" s="57"/>
      <c r="AB46" s="57"/>
      <c r="AD46" s="57"/>
      <c r="AF46" s="57"/>
      <c r="AH46" s="57"/>
      <c r="AI46" s="57"/>
      <c r="AJ46" s="57"/>
    </row>
    <row r="47" spans="26:36" x14ac:dyDescent="0.2">
      <c r="Z47" s="57"/>
      <c r="AB47" s="57"/>
      <c r="AD47" s="57"/>
      <c r="AF47" s="57"/>
      <c r="AH47" s="57"/>
      <c r="AI47" s="57"/>
      <c r="AJ47" s="57"/>
    </row>
    <row r="48" spans="26:36" x14ac:dyDescent="0.2">
      <c r="Z48" s="57"/>
      <c r="AB48" s="57"/>
      <c r="AD48" s="57"/>
      <c r="AF48" s="57"/>
      <c r="AH48" s="57"/>
      <c r="AI48" s="57"/>
      <c r="AJ48" s="57"/>
    </row>
    <row r="49" spans="26:36" x14ac:dyDescent="0.2">
      <c r="Z49" s="57"/>
      <c r="AB49" s="57"/>
      <c r="AD49" s="57"/>
      <c r="AF49" s="57"/>
      <c r="AH49" s="57"/>
      <c r="AI49" s="57"/>
      <c r="AJ49" s="57"/>
    </row>
    <row r="50" spans="26:36" x14ac:dyDescent="0.2">
      <c r="Z50" s="57"/>
      <c r="AB50" s="57"/>
      <c r="AD50" s="57"/>
      <c r="AF50" s="57"/>
      <c r="AH50" s="57"/>
      <c r="AI50" s="57"/>
      <c r="AJ50" s="57"/>
    </row>
    <row r="51" spans="26:36" x14ac:dyDescent="0.2">
      <c r="Z51" s="57"/>
      <c r="AB51" s="57"/>
      <c r="AD51" s="57"/>
      <c r="AF51" s="57"/>
      <c r="AH51" s="57"/>
      <c r="AI51" s="57"/>
      <c r="AJ51" s="57"/>
    </row>
    <row r="52" spans="26:36" x14ac:dyDescent="0.2">
      <c r="Z52" s="57"/>
      <c r="AB52" s="57"/>
      <c r="AD52" s="57"/>
      <c r="AF52" s="57"/>
      <c r="AH52" s="57"/>
      <c r="AI52" s="57"/>
      <c r="AJ52" s="57"/>
    </row>
    <row r="53" spans="26:36" x14ac:dyDescent="0.2">
      <c r="Z53" s="57"/>
      <c r="AB53" s="57"/>
      <c r="AD53" s="57"/>
      <c r="AF53" s="57"/>
      <c r="AH53" s="57"/>
      <c r="AI53" s="57"/>
      <c r="AJ53" s="57"/>
    </row>
    <row r="54" spans="26:36" x14ac:dyDescent="0.2">
      <c r="Z54" s="57"/>
      <c r="AB54" s="57"/>
      <c r="AD54" s="57"/>
      <c r="AF54" s="57"/>
      <c r="AH54" s="57"/>
      <c r="AI54" s="57"/>
      <c r="AJ54" s="57"/>
    </row>
    <row r="55" spans="26:36" x14ac:dyDescent="0.2">
      <c r="Z55" s="57"/>
      <c r="AB55" s="57"/>
      <c r="AD55" s="57"/>
      <c r="AF55" s="57"/>
      <c r="AH55" s="57"/>
      <c r="AI55" s="57"/>
      <c r="AJ55" s="57"/>
    </row>
    <row r="56" spans="26:36" x14ac:dyDescent="0.2">
      <c r="Z56" s="57"/>
      <c r="AB56" s="57"/>
      <c r="AD56" s="57"/>
      <c r="AF56" s="57"/>
      <c r="AH56" s="57"/>
      <c r="AI56" s="57"/>
      <c r="AJ56" s="57"/>
    </row>
    <row r="57" spans="26:36" x14ac:dyDescent="0.2">
      <c r="Z57" s="57"/>
      <c r="AB57" s="57"/>
      <c r="AD57" s="57"/>
      <c r="AF57" s="57"/>
      <c r="AH57" s="57"/>
      <c r="AI57" s="57"/>
      <c r="AJ57" s="57"/>
    </row>
    <row r="58" spans="26:36" x14ac:dyDescent="0.2">
      <c r="Z58" s="57"/>
      <c r="AB58" s="57"/>
      <c r="AD58" s="57"/>
      <c r="AF58" s="57"/>
      <c r="AH58" s="57"/>
      <c r="AI58" s="57"/>
      <c r="AJ58" s="57"/>
    </row>
    <row r="59" spans="26:36" x14ac:dyDescent="0.2">
      <c r="Z59" s="57"/>
      <c r="AB59" s="57"/>
      <c r="AD59" s="57"/>
      <c r="AF59" s="57"/>
      <c r="AH59" s="57"/>
      <c r="AI59" s="57"/>
      <c r="AJ59" s="57"/>
    </row>
    <row r="60" spans="26:36" x14ac:dyDescent="0.2">
      <c r="Z60" s="57"/>
      <c r="AB60" s="57"/>
      <c r="AD60" s="57"/>
      <c r="AF60" s="57"/>
      <c r="AH60" s="57"/>
      <c r="AI60" s="57"/>
      <c r="AJ60" s="57"/>
    </row>
    <row r="61" spans="26:36" x14ac:dyDescent="0.2">
      <c r="Z61" s="57"/>
      <c r="AB61" s="57"/>
      <c r="AD61" s="57"/>
      <c r="AF61" s="57"/>
      <c r="AH61" s="57"/>
      <c r="AI61" s="57"/>
      <c r="AJ61" s="57"/>
    </row>
    <row r="62" spans="26:36" x14ac:dyDescent="0.2">
      <c r="Z62" s="57"/>
      <c r="AB62" s="57"/>
      <c r="AD62" s="57"/>
      <c r="AF62" s="57"/>
      <c r="AH62" s="57"/>
      <c r="AI62" s="57"/>
      <c r="AJ62" s="57"/>
    </row>
    <row r="63" spans="26:36" x14ac:dyDescent="0.2">
      <c r="Z63" s="57"/>
      <c r="AB63" s="57"/>
      <c r="AD63" s="57"/>
      <c r="AF63" s="57"/>
      <c r="AH63" s="57"/>
      <c r="AI63" s="57"/>
      <c r="AJ63" s="57"/>
    </row>
    <row r="64" spans="26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6F7E-4926-488A-965A-FD7F26885BA1}">
  <sheetPr>
    <tabColor rgb="FF92D050"/>
  </sheetPr>
  <dimension ref="A1:AJ8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231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x14ac:dyDescent="0.2">
      <c r="A5" s="54" t="s">
        <v>69</v>
      </c>
      <c r="Z5" s="57"/>
      <c r="AB5" s="57"/>
      <c r="AD5" s="57"/>
      <c r="AF5" s="57"/>
      <c r="AG5" s="57"/>
      <c r="AH5" s="57"/>
      <c r="AI5" s="57"/>
      <c r="AJ5" s="57"/>
    </row>
    <row r="6" spans="1:36" x14ac:dyDescent="0.2">
      <c r="A6" s="59" t="s">
        <v>755</v>
      </c>
      <c r="B6" s="60" t="s">
        <v>362</v>
      </c>
      <c r="C6" s="79">
        <v>908504.64</v>
      </c>
      <c r="D6" s="80"/>
      <c r="E6" s="79">
        <v>39739</v>
      </c>
      <c r="F6" s="80"/>
      <c r="G6" s="79">
        <v>0</v>
      </c>
      <c r="H6" s="79"/>
      <c r="I6" s="79">
        <v>0</v>
      </c>
      <c r="J6" s="79"/>
      <c r="K6" s="79">
        <v>0</v>
      </c>
      <c r="L6" s="79"/>
      <c r="M6" s="79">
        <v>0</v>
      </c>
      <c r="N6" s="79"/>
      <c r="O6" s="79">
        <f>PRODUCT(M6,0/12)</f>
        <v>0</v>
      </c>
      <c r="P6" s="79"/>
      <c r="Q6" s="79">
        <f>SUM(M6,O6)</f>
        <v>0</v>
      </c>
      <c r="R6" s="79"/>
      <c r="S6" s="79">
        <v>0</v>
      </c>
      <c r="T6" s="79"/>
      <c r="U6" s="79">
        <v>0</v>
      </c>
      <c r="V6" s="79"/>
      <c r="W6" s="79">
        <v>0</v>
      </c>
      <c r="X6" s="79"/>
      <c r="Y6" s="79">
        <f>SUM(W6,-I6)</f>
        <v>0</v>
      </c>
      <c r="Z6" s="62"/>
      <c r="AA6" s="63" t="str">
        <f>IF(W6=0,"N/A",PRODUCT(Y6,1/I6))</f>
        <v>N/A</v>
      </c>
      <c r="AB6" s="62"/>
      <c r="AC6" s="79">
        <f>SUM(W6,-Q6)</f>
        <v>0</v>
      </c>
      <c r="AD6" s="62"/>
      <c r="AE6" s="63" t="str">
        <f>IF(W6=0,"N/A",PRODUCT(AC6,1/Q6))</f>
        <v>N/A</v>
      </c>
      <c r="AF6" s="57"/>
      <c r="AG6" s="57"/>
      <c r="AH6" s="57"/>
      <c r="AI6" s="57"/>
      <c r="AJ6" s="57"/>
    </row>
    <row r="7" spans="1:36" x14ac:dyDescent="0.2">
      <c r="A7" s="64" t="s">
        <v>70</v>
      </c>
      <c r="C7" s="81">
        <f>SUM(C6:C6)</f>
        <v>908504.64</v>
      </c>
      <c r="E7" s="81">
        <f>SUM(E6:E6)</f>
        <v>39739</v>
      </c>
      <c r="G7" s="81">
        <f>SUM(G6:G6)</f>
        <v>0</v>
      </c>
      <c r="I7" s="81">
        <f>SUM(I6:I6)</f>
        <v>0</v>
      </c>
      <c r="K7" s="81">
        <f>SUM(K6:K6)</f>
        <v>0</v>
      </c>
      <c r="M7" s="81">
        <f>SUM(M6:M6)</f>
        <v>0</v>
      </c>
      <c r="O7" s="81">
        <f>SUM(O6:O6)</f>
        <v>0</v>
      </c>
      <c r="Q7" s="81">
        <f>SUM(Q6:Q6)</f>
        <v>0</v>
      </c>
      <c r="S7" s="81">
        <f>SUM(S6:S6)</f>
        <v>0</v>
      </c>
      <c r="U7" s="81">
        <f>SUM(U6:U6)</f>
        <v>0</v>
      </c>
      <c r="W7" s="81">
        <f>SUM(W6:W6)</f>
        <v>0</v>
      </c>
      <c r="Y7" s="81">
        <f>SUM(Y6:Y6)</f>
        <v>0</v>
      </c>
      <c r="Z7" s="57"/>
      <c r="AA7" s="65" t="str">
        <f>IF(W7=0,"N/A",PRODUCT(Y7,1/I7))</f>
        <v>N/A</v>
      </c>
      <c r="AB7" s="57"/>
      <c r="AC7" s="81">
        <f>SUM(AC6:AC6)</f>
        <v>0</v>
      </c>
      <c r="AD7" s="57"/>
      <c r="AE7" s="65" t="str">
        <f>IF(W7=0,"N/A",PRODUCT(AC7,1/Q7))</f>
        <v>N/A</v>
      </c>
      <c r="AF7" s="57"/>
      <c r="AG7" s="57"/>
      <c r="AH7" s="57"/>
      <c r="AI7" s="57"/>
      <c r="AJ7" s="57"/>
    </row>
    <row r="8" spans="1:36" x14ac:dyDescent="0.2">
      <c r="A8" s="55"/>
      <c r="Z8" s="57"/>
      <c r="AB8" s="57"/>
      <c r="AD8" s="57"/>
      <c r="AF8" s="57"/>
      <c r="AG8" s="57"/>
      <c r="AH8" s="57"/>
      <c r="AI8" s="57"/>
      <c r="AJ8" s="57"/>
    </row>
    <row r="9" spans="1:36" x14ac:dyDescent="0.2">
      <c r="A9" s="54" t="s">
        <v>388</v>
      </c>
      <c r="Z9" s="57"/>
      <c r="AB9" s="57"/>
      <c r="AD9" s="57"/>
      <c r="AF9" s="57"/>
      <c r="AG9" s="57"/>
      <c r="AH9" s="57"/>
      <c r="AI9" s="57"/>
      <c r="AJ9" s="57"/>
    </row>
    <row r="10" spans="1:36" x14ac:dyDescent="0.2">
      <c r="A10" s="59" t="s">
        <v>756</v>
      </c>
      <c r="B10" s="60" t="s">
        <v>757</v>
      </c>
      <c r="C10" s="79">
        <v>0</v>
      </c>
      <c r="D10" s="80"/>
      <c r="E10" s="79">
        <v>0</v>
      </c>
      <c r="F10" s="80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f>PRODUCT(M10,0/12)</f>
        <v>0</v>
      </c>
      <c r="P10" s="79"/>
      <c r="Q10" s="79">
        <f>SUM(M10,O10)</f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>SUM(W10,-I10)</f>
        <v>0</v>
      </c>
      <c r="Z10" s="62"/>
      <c r="AA10" s="63" t="str">
        <f>IF(W10=0,"N/A",PRODUCT(Y10,1/I10))</f>
        <v>N/A</v>
      </c>
      <c r="AB10" s="62"/>
      <c r="AC10" s="79">
        <f>SUM(W10,-Q10)</f>
        <v>0</v>
      </c>
      <c r="AD10" s="62"/>
      <c r="AE10" s="63" t="str">
        <f>IF(W10=0,"N/A",PRODUCT(AC10,1/Q10))</f>
        <v>N/A</v>
      </c>
      <c r="AF10" s="57"/>
      <c r="AG10" s="57"/>
      <c r="AH10" s="57"/>
      <c r="AI10" s="57"/>
      <c r="AJ10" s="57"/>
    </row>
    <row r="11" spans="1:36" x14ac:dyDescent="0.2">
      <c r="A11" s="64" t="s">
        <v>459</v>
      </c>
      <c r="C11" s="81">
        <f>SUM(C10:C10)</f>
        <v>0</v>
      </c>
      <c r="E11" s="81">
        <f>SUM(E10:E10)</f>
        <v>0</v>
      </c>
      <c r="F11" s="77"/>
      <c r="G11" s="81">
        <f>SUM(G10:G10)</f>
        <v>0</v>
      </c>
      <c r="I11" s="81">
        <f>SUM(I10:I10)</f>
        <v>0</v>
      </c>
      <c r="K11" s="81">
        <f>SUM(K10:K10)</f>
        <v>0</v>
      </c>
      <c r="M11" s="81">
        <f>SUM(M10:M10)</f>
        <v>0</v>
      </c>
      <c r="O11" s="81">
        <f>SUM(O10:O10)</f>
        <v>0</v>
      </c>
      <c r="Q11" s="81">
        <f>SUM(Q10:Q10)</f>
        <v>0</v>
      </c>
      <c r="S11" s="81">
        <f>SUM(S10:S10)</f>
        <v>0</v>
      </c>
      <c r="U11" s="81">
        <f>SUM(U10:U10)</f>
        <v>0</v>
      </c>
      <c r="W11" s="81">
        <f>SUM(W10:W10)</f>
        <v>0</v>
      </c>
      <c r="Y11" s="81">
        <f>SUM(Y10:Y10)</f>
        <v>0</v>
      </c>
      <c r="Z11" s="57"/>
      <c r="AA11" s="65" t="str">
        <f>IF(W11=0,"N/A",PRODUCT(Y11,1/I11))</f>
        <v>N/A</v>
      </c>
      <c r="AB11" s="57"/>
      <c r="AC11" s="81">
        <f>SUM(AC10:AC10)</f>
        <v>0</v>
      </c>
      <c r="AD11" s="57"/>
      <c r="AE11" s="65" t="str">
        <f>IF(W11=0,"N/A",PRODUCT(AC11,1/Q11))</f>
        <v>N/A</v>
      </c>
      <c r="AF11" s="57"/>
      <c r="AG11" s="57"/>
      <c r="AH11" s="57"/>
      <c r="AI11" s="57"/>
      <c r="AJ11" s="57"/>
    </row>
    <row r="12" spans="1:36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3.5" thickBot="1" x14ac:dyDescent="0.25">
      <c r="A13" s="67" t="s">
        <v>232</v>
      </c>
      <c r="C13" s="83">
        <f>SUM(C7,C11)</f>
        <v>908504.64</v>
      </c>
      <c r="E13" s="83">
        <f>SUM(E7,E11)</f>
        <v>39739</v>
      </c>
      <c r="G13" s="83">
        <f>SUM(G7,G11)</f>
        <v>0</v>
      </c>
      <c r="I13" s="83">
        <f>SUM(I7,I11)</f>
        <v>0</v>
      </c>
      <c r="K13" s="83">
        <f>SUM(K7,K11)</f>
        <v>0</v>
      </c>
      <c r="M13" s="82">
        <f>SUM(M7,M11)</f>
        <v>0</v>
      </c>
      <c r="O13" s="82">
        <f>SUM(O7,O11)</f>
        <v>0</v>
      </c>
      <c r="Q13" s="83">
        <f>SUM(Q7,Q11)</f>
        <v>0</v>
      </c>
      <c r="S13" s="82">
        <f>SUM(S7,S11)</f>
        <v>0</v>
      </c>
      <c r="U13" s="82">
        <f>SUM(U7,U11)</f>
        <v>0</v>
      </c>
      <c r="W13" s="83">
        <f>SUM(W7,W11)</f>
        <v>0</v>
      </c>
      <c r="Y13" s="82">
        <f>SUM(Y7,Y11)</f>
        <v>0</v>
      </c>
      <c r="Z13" s="57"/>
      <c r="AA13" s="125" t="str">
        <f>IF(W13=0,"N/A",PRODUCT(Y13,1/I13))</f>
        <v>N/A</v>
      </c>
      <c r="AB13" s="57"/>
      <c r="AC13" s="82">
        <f>SUM(AC7,AC11)</f>
        <v>0</v>
      </c>
      <c r="AD13" s="57"/>
      <c r="AE13" s="125" t="str">
        <f>IF(W13=0,"N/A",PRODUCT(AC13,1/Q13))</f>
        <v>N/A</v>
      </c>
      <c r="AF13" s="57"/>
      <c r="AG13" s="57"/>
      <c r="AH13" s="57"/>
      <c r="AI13" s="57"/>
      <c r="AJ13" s="57"/>
    </row>
    <row r="14" spans="1:36" ht="13.5" thickTop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Z16" s="57"/>
      <c r="AB16" s="57"/>
      <c r="AD16" s="57"/>
      <c r="AF16" s="57"/>
      <c r="AG16" s="57"/>
      <c r="AH16" s="57"/>
      <c r="AI16" s="57"/>
      <c r="AJ16" s="57"/>
    </row>
    <row r="17" spans="26:36" x14ac:dyDescent="0.2">
      <c r="Z17" s="57"/>
      <c r="AB17" s="57"/>
      <c r="AD17" s="57"/>
      <c r="AF17" s="57"/>
      <c r="AG17" s="57"/>
      <c r="AH17" s="57"/>
      <c r="AI17" s="57"/>
      <c r="AJ17" s="57"/>
    </row>
    <row r="18" spans="26:36" x14ac:dyDescent="0.2">
      <c r="Z18" s="57"/>
      <c r="AB18" s="57"/>
      <c r="AD18" s="57"/>
      <c r="AF18" s="57"/>
      <c r="AG18" s="57"/>
      <c r="AH18" s="57"/>
      <c r="AI18" s="57"/>
      <c r="AJ18" s="57"/>
    </row>
    <row r="19" spans="26:36" x14ac:dyDescent="0.2">
      <c r="Z19" s="57"/>
      <c r="AB19" s="57"/>
      <c r="AD19" s="57"/>
      <c r="AF19" s="57"/>
      <c r="AG19" s="57"/>
      <c r="AH19" s="57"/>
      <c r="AI19" s="57"/>
      <c r="AJ19" s="57"/>
    </row>
    <row r="20" spans="26:36" x14ac:dyDescent="0.2">
      <c r="Z20" s="57"/>
      <c r="AB20" s="57"/>
      <c r="AD20" s="57"/>
      <c r="AF20" s="57"/>
      <c r="AG20" s="57"/>
      <c r="AH20" s="57"/>
      <c r="AI20" s="57"/>
      <c r="AJ20" s="57"/>
    </row>
    <row r="21" spans="26:36" x14ac:dyDescent="0.2">
      <c r="Z21" s="57"/>
      <c r="AB21" s="57"/>
      <c r="AD21" s="57"/>
      <c r="AF21" s="57"/>
      <c r="AG21" s="57"/>
      <c r="AH21" s="57"/>
      <c r="AI21" s="57"/>
      <c r="AJ21" s="57"/>
    </row>
    <row r="22" spans="26:36" x14ac:dyDescent="0.2">
      <c r="Z22" s="57"/>
      <c r="AB22" s="57"/>
      <c r="AD22" s="57"/>
      <c r="AF22" s="57"/>
      <c r="AG22" s="57"/>
      <c r="AH22" s="57"/>
      <c r="AI22" s="57"/>
      <c r="AJ22" s="57"/>
    </row>
    <row r="23" spans="26:36" x14ac:dyDescent="0.2">
      <c r="Z23" s="57"/>
      <c r="AB23" s="57"/>
      <c r="AD23" s="57"/>
      <c r="AF23" s="57"/>
      <c r="AG23" s="57"/>
      <c r="AH23" s="57"/>
      <c r="AI23" s="57"/>
      <c r="AJ23" s="57"/>
    </row>
    <row r="24" spans="26:36" x14ac:dyDescent="0.2">
      <c r="Z24" s="57"/>
      <c r="AB24" s="57"/>
      <c r="AD24" s="57"/>
      <c r="AF24" s="57"/>
      <c r="AG24" s="57"/>
      <c r="AH24" s="57"/>
      <c r="AI24" s="57"/>
      <c r="AJ24" s="57"/>
    </row>
    <row r="25" spans="26:36" x14ac:dyDescent="0.2">
      <c r="Z25" s="57"/>
      <c r="AB25" s="57"/>
      <c r="AD25" s="57"/>
      <c r="AF25" s="57"/>
      <c r="AG25" s="57"/>
      <c r="AH25" s="57"/>
      <c r="AI25" s="57"/>
      <c r="AJ25" s="57"/>
    </row>
    <row r="26" spans="26:36" x14ac:dyDescent="0.2">
      <c r="Z26" s="57"/>
      <c r="AB26" s="57"/>
      <c r="AD26" s="57"/>
      <c r="AF26" s="57"/>
      <c r="AG26" s="57"/>
      <c r="AH26" s="57"/>
      <c r="AI26" s="57"/>
      <c r="AJ26" s="57"/>
    </row>
    <row r="27" spans="26:36" x14ac:dyDescent="0.2">
      <c r="Z27" s="57"/>
      <c r="AB27" s="57"/>
      <c r="AD27" s="57"/>
      <c r="AF27" s="57"/>
      <c r="AG27" s="57"/>
      <c r="AH27" s="57"/>
      <c r="AI27" s="57"/>
      <c r="AJ27" s="57"/>
    </row>
    <row r="28" spans="26:36" x14ac:dyDescent="0.2">
      <c r="Z28" s="57"/>
      <c r="AB28" s="57"/>
      <c r="AD28" s="57"/>
      <c r="AF28" s="57"/>
      <c r="AG28" s="57"/>
      <c r="AH28" s="57"/>
      <c r="AI28" s="57"/>
      <c r="AJ28" s="57"/>
    </row>
    <row r="29" spans="26:36" x14ac:dyDescent="0.2">
      <c r="Z29" s="57"/>
      <c r="AB29" s="57"/>
      <c r="AD29" s="57"/>
      <c r="AF29" s="57"/>
      <c r="AG29" s="57"/>
      <c r="AH29" s="57"/>
      <c r="AI29" s="57"/>
      <c r="AJ29" s="57"/>
    </row>
    <row r="30" spans="26:36" x14ac:dyDescent="0.2">
      <c r="Z30" s="57"/>
      <c r="AB30" s="57"/>
      <c r="AD30" s="57"/>
      <c r="AF30" s="57"/>
      <c r="AG30" s="57"/>
      <c r="AH30" s="57"/>
      <c r="AI30" s="57"/>
      <c r="AJ30" s="57"/>
    </row>
    <row r="31" spans="26:36" x14ac:dyDescent="0.2">
      <c r="Z31" s="57"/>
      <c r="AB31" s="57"/>
      <c r="AD31" s="57"/>
      <c r="AF31" s="57"/>
      <c r="AG31" s="57"/>
      <c r="AH31" s="57"/>
      <c r="AI31" s="57"/>
      <c r="AJ31" s="57"/>
    </row>
    <row r="32" spans="26:36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6D69-4FAB-4C4B-B625-E8A986369B78}">
  <sheetPr>
    <tabColor rgb="FF92D050"/>
  </sheetPr>
  <dimension ref="A1:AJ8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940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G4" s="52"/>
      <c r="AH4" s="52"/>
      <c r="AI4" s="52"/>
      <c r="AJ4" s="52"/>
    </row>
    <row r="5" spans="1:36" s="51" customFormat="1" ht="12.75" customHeight="1" x14ac:dyDescent="0.2">
      <c r="A5" s="59" t="s">
        <v>771</v>
      </c>
      <c r="B5" s="85"/>
      <c r="C5" s="112">
        <f>'UT-R'!C19</f>
        <v>274574.95999999996</v>
      </c>
      <c r="D5" s="80"/>
      <c r="E5" s="112">
        <f>'UT-R'!E19</f>
        <v>1066526.32</v>
      </c>
      <c r="F5" s="80"/>
      <c r="G5" s="112">
        <f>'UT-R'!G19</f>
        <v>203324.07</v>
      </c>
      <c r="H5" s="112"/>
      <c r="I5" s="112">
        <f>'UT-R'!I19</f>
        <v>805000</v>
      </c>
      <c r="J5" s="112"/>
      <c r="K5" s="112">
        <f>'UT-R'!K19</f>
        <v>805000</v>
      </c>
      <c r="L5" s="112"/>
      <c r="M5" s="112">
        <f>'UT-R'!M19</f>
        <v>554886.31000000006</v>
      </c>
      <c r="N5" s="112"/>
      <c r="O5" s="112">
        <f>'UT-R'!O19</f>
        <v>0</v>
      </c>
      <c r="P5" s="112"/>
      <c r="Q5" s="112">
        <f>'UT-R'!Q19</f>
        <v>554886.31000000006</v>
      </c>
      <c r="R5" s="112"/>
      <c r="S5" s="112">
        <f>'UT-R'!S19</f>
        <v>874500</v>
      </c>
      <c r="T5" s="112"/>
      <c r="U5" s="112">
        <f>'UT-R'!U19</f>
        <v>905500</v>
      </c>
      <c r="V5" s="112"/>
      <c r="W5" s="112">
        <f>'UT-R'!W19</f>
        <v>918000</v>
      </c>
      <c r="X5" s="112"/>
      <c r="Y5" s="112">
        <f>'UT-R'!Y19</f>
        <v>113000</v>
      </c>
      <c r="Z5" s="113"/>
      <c r="AA5" s="63">
        <f>'UT-R'!AA19</f>
        <v>0.14037267080745341</v>
      </c>
      <c r="AB5" s="113"/>
      <c r="AC5" s="112">
        <f>'UT-R'!AC19</f>
        <v>363113.69000000012</v>
      </c>
      <c r="AD5" s="113"/>
      <c r="AE5" s="63">
        <f>'UT-R'!AE19</f>
        <v>0.65439295123356001</v>
      </c>
      <c r="AF5" s="52"/>
      <c r="AG5" s="52"/>
      <c r="AH5" s="52"/>
      <c r="AI5" s="52"/>
      <c r="AJ5" s="52"/>
    </row>
    <row r="6" spans="1:36" ht="12.75" customHeight="1" x14ac:dyDescent="0.2">
      <c r="A6" s="55" t="s">
        <v>934</v>
      </c>
      <c r="C6" s="77">
        <f>'UT-R'!C32</f>
        <v>5046553.1199999992</v>
      </c>
      <c r="E6" s="77">
        <f>'UT-R'!E32</f>
        <v>5126281.66</v>
      </c>
      <c r="G6" s="77">
        <f>'UT-R'!G32</f>
        <v>6467688.1699999999</v>
      </c>
      <c r="I6" s="77">
        <f>'UT-R'!I32</f>
        <v>5781400</v>
      </c>
      <c r="K6" s="77">
        <f>'UT-R'!K32</f>
        <v>5781400</v>
      </c>
      <c r="M6" s="77">
        <f>'UT-R'!M32</f>
        <v>6071501.9300000006</v>
      </c>
      <c r="O6" s="77">
        <f>'UT-R'!O32</f>
        <v>0</v>
      </c>
      <c r="Q6" s="77">
        <f>'UT-R'!Q32</f>
        <v>6071501.9300000006</v>
      </c>
      <c r="S6" s="77">
        <f>'UT-R'!S32</f>
        <v>5568000</v>
      </c>
      <c r="U6" s="77">
        <f>'UT-R'!U32</f>
        <v>5648000</v>
      </c>
      <c r="W6" s="77">
        <f>'UT-R'!W32</f>
        <v>5800400</v>
      </c>
      <c r="Y6" s="77">
        <f>'UT-R'!Y32</f>
        <v>19000</v>
      </c>
      <c r="Z6" s="57"/>
      <c r="AA6" s="58">
        <f>'UT-R'!AA32</f>
        <v>3.2864012176981351E-3</v>
      </c>
      <c r="AB6" s="57"/>
      <c r="AC6" s="77">
        <f>'UT-R'!AC32</f>
        <v>-271101.92999999976</v>
      </c>
      <c r="AD6" s="57"/>
      <c r="AE6" s="58">
        <f>'UT-R'!AE32</f>
        <v>-4.4651543082026117E-2</v>
      </c>
      <c r="AF6" s="57"/>
      <c r="AG6" s="57"/>
      <c r="AH6" s="57"/>
      <c r="AI6" s="57"/>
      <c r="AJ6" s="57"/>
    </row>
    <row r="7" spans="1:36" ht="12.75" customHeight="1" x14ac:dyDescent="0.2">
      <c r="A7" s="59" t="s">
        <v>935</v>
      </c>
      <c r="B7" s="60"/>
      <c r="C7" s="79">
        <f>'UT-R'!C42</f>
        <v>3443087.9000000004</v>
      </c>
      <c r="D7" s="80"/>
      <c r="E7" s="79">
        <f>'UT-R'!E42</f>
        <v>4274727.04</v>
      </c>
      <c r="F7" s="80"/>
      <c r="G7" s="79">
        <f>'UT-R'!G42</f>
        <v>4972552.1199999992</v>
      </c>
      <c r="H7" s="79"/>
      <c r="I7" s="79">
        <f>'UT-R'!I42</f>
        <v>4561900</v>
      </c>
      <c r="J7" s="79"/>
      <c r="K7" s="79">
        <f>'UT-R'!K42</f>
        <v>4561900</v>
      </c>
      <c r="L7" s="79"/>
      <c r="M7" s="79">
        <f>'UT-R'!M42</f>
        <v>4607080.29</v>
      </c>
      <c r="N7" s="79"/>
      <c r="O7" s="79">
        <f>'UT-R'!O42</f>
        <v>0</v>
      </c>
      <c r="P7" s="79"/>
      <c r="Q7" s="79">
        <f>'UT-R'!Q42</f>
        <v>4607080.29</v>
      </c>
      <c r="R7" s="79"/>
      <c r="S7" s="79">
        <f>'UT-R'!S42</f>
        <v>4908000</v>
      </c>
      <c r="T7" s="79"/>
      <c r="U7" s="79">
        <f>'UT-R'!U42</f>
        <v>4842000</v>
      </c>
      <c r="V7" s="79"/>
      <c r="W7" s="79">
        <f>'UT-R'!W42</f>
        <v>4873000</v>
      </c>
      <c r="X7" s="79"/>
      <c r="Y7" s="79">
        <f>'UT-R'!Y42</f>
        <v>311100</v>
      </c>
      <c r="Z7" s="62"/>
      <c r="AA7" s="63">
        <f>'UT-R'!AA42</f>
        <v>6.8195269514895102E-2</v>
      </c>
      <c r="AB7" s="62"/>
      <c r="AC7" s="79">
        <f>'UT-R'!AC42</f>
        <v>265919.70999999996</v>
      </c>
      <c r="AD7" s="62"/>
      <c r="AE7" s="63">
        <f>'UT-R'!AE42</f>
        <v>5.7719790683309312E-2</v>
      </c>
      <c r="AF7" s="57"/>
      <c r="AG7" s="57"/>
      <c r="AH7" s="57"/>
      <c r="AI7" s="57"/>
      <c r="AJ7" s="57"/>
    </row>
    <row r="8" spans="1:36" ht="12.75" customHeight="1" x14ac:dyDescent="0.2">
      <c r="A8" s="55" t="s">
        <v>939</v>
      </c>
      <c r="C8" s="77">
        <f>'UT-R'!C49</f>
        <v>1101200.1600000001</v>
      </c>
      <c r="E8" s="77">
        <f>'UT-R'!E49</f>
        <v>1203977.68</v>
      </c>
      <c r="G8" s="77">
        <f>'UT-R'!G49</f>
        <v>1285816.6499999999</v>
      </c>
      <c r="I8" s="77">
        <f>'UT-R'!I49</f>
        <v>1328600</v>
      </c>
      <c r="K8" s="77">
        <f>'UT-R'!K49</f>
        <v>1328600</v>
      </c>
      <c r="M8" s="77">
        <f>'UT-R'!M49</f>
        <v>1395871.31</v>
      </c>
      <c r="O8" s="77">
        <f>'UT-R'!O49</f>
        <v>0</v>
      </c>
      <c r="Q8" s="77">
        <f>'UT-R'!Q49</f>
        <v>1395871.31</v>
      </c>
      <c r="S8" s="77">
        <f>'UT-R'!S49</f>
        <v>1435000</v>
      </c>
      <c r="U8" s="77">
        <f>'UT-R'!U49</f>
        <v>1770000</v>
      </c>
      <c r="W8" s="77">
        <f>'UT-R'!W49</f>
        <v>1515000</v>
      </c>
      <c r="Y8" s="77">
        <f>'UT-R'!Y49</f>
        <v>186400</v>
      </c>
      <c r="Z8" s="57"/>
      <c r="AA8" s="58">
        <f>'UT-R'!AA49</f>
        <v>0.1402980581062773</v>
      </c>
      <c r="AB8" s="57"/>
      <c r="AC8" s="77">
        <f>'UT-R'!AC49</f>
        <v>119128.69000000003</v>
      </c>
      <c r="AD8" s="57"/>
      <c r="AE8" s="58">
        <f>'UT-R'!AE49</f>
        <v>8.5343605206700632E-2</v>
      </c>
      <c r="AF8" s="57"/>
      <c r="AG8" s="57"/>
      <c r="AH8" s="57"/>
      <c r="AI8" s="57"/>
      <c r="AJ8" s="57"/>
    </row>
    <row r="9" spans="1:36" ht="12.75" customHeight="1" x14ac:dyDescent="0.2">
      <c r="A9" s="59" t="s">
        <v>936</v>
      </c>
      <c r="B9" s="60"/>
      <c r="C9" s="79">
        <f>'UT-R'!C54</f>
        <v>0</v>
      </c>
      <c r="D9" s="80"/>
      <c r="E9" s="79">
        <f>'UT-R'!E54</f>
        <v>628.49</v>
      </c>
      <c r="F9" s="80"/>
      <c r="G9" s="79">
        <f>'UT-R'!G54</f>
        <v>1470.66</v>
      </c>
      <c r="H9" s="79"/>
      <c r="I9" s="79">
        <f>'UT-R'!I54</f>
        <v>750</v>
      </c>
      <c r="J9" s="79"/>
      <c r="K9" s="79">
        <f>'UT-R'!K54</f>
        <v>750</v>
      </c>
      <c r="L9" s="79"/>
      <c r="M9" s="79">
        <f>'UT-R'!M54</f>
        <v>248.25</v>
      </c>
      <c r="N9" s="79"/>
      <c r="O9" s="79">
        <f>'UT-R'!O54</f>
        <v>0</v>
      </c>
      <c r="P9" s="79"/>
      <c r="Q9" s="79">
        <f>'UT-R'!Q54</f>
        <v>248.25</v>
      </c>
      <c r="R9" s="79"/>
      <c r="S9" s="79">
        <f>'UT-R'!S54</f>
        <v>750</v>
      </c>
      <c r="T9" s="79"/>
      <c r="U9" s="79">
        <f>'UT-R'!U54</f>
        <v>750</v>
      </c>
      <c r="V9" s="79"/>
      <c r="W9" s="79">
        <f>'UT-R'!W54</f>
        <v>750</v>
      </c>
      <c r="X9" s="79"/>
      <c r="Y9" s="79">
        <f>'UT-R'!Y54</f>
        <v>0</v>
      </c>
      <c r="Z9" s="62"/>
      <c r="AA9" s="63">
        <f>'UT-R'!AA54</f>
        <v>0</v>
      </c>
      <c r="AB9" s="62"/>
      <c r="AC9" s="79">
        <f>'UT-R'!AC54</f>
        <v>501.75</v>
      </c>
      <c r="AD9" s="62"/>
      <c r="AE9" s="63">
        <f>'UT-R'!AE54</f>
        <v>2.0211480362537766</v>
      </c>
      <c r="AF9" s="57"/>
      <c r="AG9" s="57"/>
      <c r="AH9" s="57"/>
      <c r="AI9" s="57"/>
      <c r="AJ9" s="57"/>
    </row>
    <row r="10" spans="1:36" ht="12.75" customHeight="1" x14ac:dyDescent="0.2">
      <c r="A10" s="55" t="s">
        <v>773</v>
      </c>
      <c r="C10" s="77">
        <f>'UT-R'!C58</f>
        <v>46666.07</v>
      </c>
      <c r="E10" s="77">
        <f>'UT-R'!E58</f>
        <v>2819.86</v>
      </c>
      <c r="G10" s="77">
        <f>'UT-R'!G58</f>
        <v>10110.74</v>
      </c>
      <c r="I10" s="77">
        <f>'UT-R'!I58</f>
        <v>3500</v>
      </c>
      <c r="K10" s="77">
        <f>'UT-R'!K58</f>
        <v>18500</v>
      </c>
      <c r="M10" s="77">
        <f>'UT-R'!M58</f>
        <v>26858.79</v>
      </c>
      <c r="O10" s="77">
        <f>'UT-R'!O58</f>
        <v>0</v>
      </c>
      <c r="Q10" s="77">
        <f>'UT-R'!Q58</f>
        <v>26858.79</v>
      </c>
      <c r="S10" s="77">
        <f>'UT-R'!S58</f>
        <v>20000</v>
      </c>
      <c r="U10" s="77">
        <f>'UT-R'!U58</f>
        <v>20000</v>
      </c>
      <c r="W10" s="77">
        <f>'UT-R'!W58</f>
        <v>20000</v>
      </c>
      <c r="Y10" s="77">
        <f>'UT-R'!Y58</f>
        <v>16500</v>
      </c>
      <c r="Z10" s="57"/>
      <c r="AA10" s="58">
        <f>'UT-R'!AA58</f>
        <v>4.7142857142857144</v>
      </c>
      <c r="AB10" s="57"/>
      <c r="AC10" s="77">
        <f>'UT-R'!AC58</f>
        <v>-6858.7900000000009</v>
      </c>
      <c r="AD10" s="57"/>
      <c r="AE10" s="58">
        <f>'UT-R'!AE58</f>
        <v>-0.25536481725349508</v>
      </c>
      <c r="AF10" s="57"/>
      <c r="AG10" s="57"/>
      <c r="AH10" s="57"/>
      <c r="AI10" s="57"/>
      <c r="AJ10" s="57"/>
    </row>
    <row r="11" spans="1:36" ht="12.75" customHeight="1" x14ac:dyDescent="0.2">
      <c r="A11" s="59" t="s">
        <v>1409</v>
      </c>
      <c r="B11" s="60"/>
      <c r="C11" s="79">
        <f>'UT-R'!C63</f>
        <v>0</v>
      </c>
      <c r="D11" s="80"/>
      <c r="E11" s="79">
        <f>'UT-R'!E63</f>
        <v>0</v>
      </c>
      <c r="F11" s="80"/>
      <c r="G11" s="79">
        <f>'UT-R'!G63</f>
        <v>0</v>
      </c>
      <c r="H11" s="79"/>
      <c r="I11" s="79">
        <f>'UT-R'!I63</f>
        <v>0</v>
      </c>
      <c r="J11" s="79"/>
      <c r="K11" s="79">
        <f>'UT-R'!K63</f>
        <v>0</v>
      </c>
      <c r="L11" s="79"/>
      <c r="M11" s="79">
        <f>'UT-R'!M63</f>
        <v>0</v>
      </c>
      <c r="N11" s="79"/>
      <c r="O11" s="79">
        <f>'UT-R'!O63</f>
        <v>0</v>
      </c>
      <c r="P11" s="79"/>
      <c r="Q11" s="79">
        <f>'UT-R'!Q63</f>
        <v>0</v>
      </c>
      <c r="R11" s="79"/>
      <c r="S11" s="79">
        <f>'UT-R'!S63</f>
        <v>303000</v>
      </c>
      <c r="T11" s="79"/>
      <c r="U11" s="79">
        <f>'UT-R'!U63</f>
        <v>303000</v>
      </c>
      <c r="V11" s="79"/>
      <c r="W11" s="79">
        <f>'UT-R'!W63</f>
        <v>4828000</v>
      </c>
      <c r="X11" s="79"/>
      <c r="Y11" s="79">
        <f>'UT-R'!Y63</f>
        <v>4828000</v>
      </c>
      <c r="Z11" s="62"/>
      <c r="AA11" s="63" t="e">
        <f>'UT-R'!AA63</f>
        <v>#DIV/0!</v>
      </c>
      <c r="AB11" s="62"/>
      <c r="AC11" s="79">
        <f>'UT-R'!AC63</f>
        <v>4828000</v>
      </c>
      <c r="AD11" s="62"/>
      <c r="AE11" s="63" t="e">
        <f>'UT-R'!AE63</f>
        <v>#DIV/0!</v>
      </c>
      <c r="AF11" s="57"/>
      <c r="AG11" s="57"/>
      <c r="AH11" s="57"/>
      <c r="AI11" s="57"/>
      <c r="AJ11" s="57"/>
    </row>
    <row r="12" spans="1:36" ht="12.75" customHeight="1" x14ac:dyDescent="0.2">
      <c r="Z12" s="57"/>
      <c r="AA12" s="58"/>
      <c r="AB12" s="57"/>
      <c r="AD12" s="57"/>
      <c r="AE12" s="58"/>
      <c r="AF12" s="57"/>
      <c r="AG12" s="57"/>
      <c r="AH12" s="57"/>
      <c r="AI12" s="57"/>
      <c r="AJ12" s="57"/>
    </row>
    <row r="13" spans="1:36" ht="12.75" customHeight="1" thickBot="1" x14ac:dyDescent="0.25">
      <c r="A13" s="67" t="s">
        <v>941</v>
      </c>
      <c r="C13" s="83">
        <f>SUM(C5:C11)</f>
        <v>9912082.2100000009</v>
      </c>
      <c r="E13" s="83">
        <f>SUM(E5:E11)</f>
        <v>11674961.049999999</v>
      </c>
      <c r="G13" s="83">
        <f>SUM(G5:G11)</f>
        <v>12940962.41</v>
      </c>
      <c r="I13" s="83">
        <f>SUM(I5:I11)</f>
        <v>12481150</v>
      </c>
      <c r="K13" s="83">
        <f>SUM(K5:K11)</f>
        <v>12496150</v>
      </c>
      <c r="M13" s="82">
        <f>SUM(M5:M11)</f>
        <v>12656446.880000001</v>
      </c>
      <c r="O13" s="82">
        <f>SUM(O5:O11)</f>
        <v>0</v>
      </c>
      <c r="Q13" s="83">
        <f>SUM(Q5:Q11)</f>
        <v>12656446.880000001</v>
      </c>
      <c r="S13" s="82">
        <f>SUM(S5:S11)</f>
        <v>13109250</v>
      </c>
      <c r="U13" s="82">
        <f>SUM(U5:U11)</f>
        <v>13489250</v>
      </c>
      <c r="W13" s="83">
        <f>SUM(W5:W11)</f>
        <v>17955150</v>
      </c>
      <c r="Y13" s="82">
        <f>SUM(Y5:Y11)</f>
        <v>5474000</v>
      </c>
      <c r="Z13" s="57"/>
      <c r="AA13" s="125">
        <f>IF(W13=0,"N/A",PRODUCT(Y13,1/I13))</f>
        <v>0.43858138072212899</v>
      </c>
      <c r="AB13" s="57"/>
      <c r="AC13" s="82">
        <f>SUM(AC5:AC11)</f>
        <v>5298703.12</v>
      </c>
      <c r="AD13" s="57"/>
      <c r="AE13" s="125">
        <f>IF(W13=0,"N/A",PRODUCT(AC13,1/Q13))</f>
        <v>0.41865644996883988</v>
      </c>
      <c r="AF13" s="57"/>
      <c r="AG13" s="57"/>
      <c r="AH13" s="57"/>
      <c r="AI13" s="57"/>
      <c r="AJ13" s="57"/>
    </row>
    <row r="14" spans="1:36" ht="12.75" customHeight="1" thickTop="1" x14ac:dyDescent="0.2">
      <c r="Z14" s="57"/>
      <c r="AA14" s="58"/>
      <c r="AB14" s="57"/>
      <c r="AD14" s="57"/>
      <c r="AE14" s="58"/>
      <c r="AF14" s="57"/>
      <c r="AG14" s="57"/>
      <c r="AH14" s="57"/>
      <c r="AI14" s="57"/>
      <c r="AJ14" s="57"/>
    </row>
    <row r="15" spans="1:36" ht="12.75" customHeight="1" x14ac:dyDescent="0.2">
      <c r="Z15" s="57"/>
      <c r="AA15" s="58"/>
      <c r="AB15" s="57"/>
      <c r="AD15" s="57"/>
      <c r="AE15" s="58"/>
      <c r="AF15" s="57"/>
      <c r="AG15" s="57"/>
      <c r="AH15" s="57"/>
      <c r="AI15" s="57"/>
      <c r="AJ15" s="57"/>
    </row>
    <row r="16" spans="1:36" ht="12.75" customHeight="1" x14ac:dyDescent="0.2">
      <c r="Z16" s="57"/>
      <c r="AA16" s="58"/>
      <c r="AB16" s="57"/>
      <c r="AD16" s="57"/>
      <c r="AE16" s="58"/>
      <c r="AF16" s="57"/>
      <c r="AG16" s="57"/>
      <c r="AH16" s="57"/>
      <c r="AI16" s="57"/>
      <c r="AJ16" s="57"/>
    </row>
    <row r="17" spans="1:36" ht="12.75" customHeight="1" x14ac:dyDescent="0.2">
      <c r="A17" s="67" t="s">
        <v>942</v>
      </c>
      <c r="Z17" s="57"/>
      <c r="AA17" s="58"/>
      <c r="AB17" s="57"/>
      <c r="AD17" s="57"/>
      <c r="AE17" s="58"/>
      <c r="AF17" s="57"/>
      <c r="AG17" s="57"/>
      <c r="AH17" s="57"/>
      <c r="AI17" s="57"/>
      <c r="AJ17" s="57"/>
    </row>
    <row r="18" spans="1:36" ht="12.75" customHeight="1" x14ac:dyDescent="0.2">
      <c r="A18" s="55" t="s">
        <v>771</v>
      </c>
      <c r="C18" s="77">
        <f>'UT-E ADM'!C58</f>
        <v>3517050.0599999996</v>
      </c>
      <c r="E18" s="77">
        <f>'UT-E ADM'!E58</f>
        <v>3523822.5500000003</v>
      </c>
      <c r="G18" s="77">
        <f>'UT-E ADM'!G58</f>
        <v>4094123.1399999997</v>
      </c>
      <c r="I18" s="77">
        <f>'UT-E ADM'!I58</f>
        <v>2393150</v>
      </c>
      <c r="K18" s="77">
        <f>'UT-E ADM'!K58</f>
        <v>2393150</v>
      </c>
      <c r="M18" s="77">
        <f>'UT-E ADM'!M58</f>
        <v>2297769.2800000003</v>
      </c>
      <c r="O18" s="77">
        <f>'UT-E ADM'!O58</f>
        <v>0</v>
      </c>
      <c r="Q18" s="77">
        <f>'UT-E ADM'!Q58</f>
        <v>2297769.2800000003</v>
      </c>
      <c r="S18" s="77">
        <f>'UT-E ADM'!S58</f>
        <v>1714400</v>
      </c>
      <c r="U18" s="77">
        <f>'UT-E ADM'!U58</f>
        <v>1792250</v>
      </c>
      <c r="W18" s="77">
        <f>'UT-E ADM'!W58</f>
        <v>1787450</v>
      </c>
      <c r="Y18" s="77">
        <f>'UT-E ADM'!Y58</f>
        <v>-605700</v>
      </c>
      <c r="Z18" s="57"/>
      <c r="AA18" s="58">
        <f>'UT-E ADM'!AA58</f>
        <v>-0.25309738211144311</v>
      </c>
      <c r="AB18" s="57"/>
      <c r="AC18" s="77">
        <f>'UT-E ADM'!AC58</f>
        <v>-510319.27999999991</v>
      </c>
      <c r="AD18" s="57"/>
      <c r="AE18" s="58">
        <f>'UT-E ADM'!AE58</f>
        <v>-0.2220933513394347</v>
      </c>
      <c r="AF18" s="57"/>
      <c r="AG18" s="57"/>
      <c r="AH18" s="57"/>
      <c r="AI18" s="57"/>
      <c r="AJ18" s="57"/>
    </row>
    <row r="19" spans="1:36" ht="12.75" customHeight="1" x14ac:dyDescent="0.2">
      <c r="A19" s="59" t="s">
        <v>934</v>
      </c>
      <c r="B19" s="60"/>
      <c r="C19" s="79">
        <f>'UT-E PROD'!C41</f>
        <v>875949.44999999984</v>
      </c>
      <c r="D19" s="80"/>
      <c r="E19" s="79">
        <f>'UT-E PROD'!E41</f>
        <v>925479.03</v>
      </c>
      <c r="F19" s="80"/>
      <c r="G19" s="79">
        <f>'UT-E PROD'!G41</f>
        <v>1377268.52</v>
      </c>
      <c r="H19" s="79"/>
      <c r="I19" s="79">
        <f>'UT-E PROD'!I41</f>
        <v>1489750</v>
      </c>
      <c r="J19" s="79"/>
      <c r="K19" s="79">
        <f>'UT-E PROD'!K41</f>
        <v>1489750</v>
      </c>
      <c r="L19" s="79"/>
      <c r="M19" s="79">
        <f>'UT-E PROD'!M41</f>
        <v>1643963.24</v>
      </c>
      <c r="N19" s="79"/>
      <c r="O19" s="79">
        <f>'UT-E PROD'!O41</f>
        <v>0</v>
      </c>
      <c r="P19" s="79"/>
      <c r="Q19" s="79">
        <f>'UT-E PROD'!Q41</f>
        <v>1643963.24</v>
      </c>
      <c r="R19" s="79"/>
      <c r="S19" s="79">
        <f>'UT-E PROD'!S41</f>
        <v>1575000</v>
      </c>
      <c r="T19" s="79"/>
      <c r="U19" s="79">
        <f>'UT-E PROD'!U41</f>
        <v>1845500</v>
      </c>
      <c r="V19" s="79"/>
      <c r="W19" s="79">
        <f>'UT-E PROD'!W41</f>
        <v>1796500</v>
      </c>
      <c r="X19" s="79"/>
      <c r="Y19" s="79">
        <f>'UT-E PROD'!Y41</f>
        <v>306750</v>
      </c>
      <c r="Z19" s="62"/>
      <c r="AA19" s="63">
        <f>'UT-E PROD'!AA41</f>
        <v>0.20590703138110422</v>
      </c>
      <c r="AB19" s="62"/>
      <c r="AC19" s="79">
        <f>'UT-E PROD'!AC41</f>
        <v>152536.75999999995</v>
      </c>
      <c r="AD19" s="62"/>
      <c r="AE19" s="63">
        <f>'UT-E PROD'!AE41</f>
        <v>9.2785991978750051E-2</v>
      </c>
      <c r="AF19" s="57"/>
      <c r="AG19" s="57"/>
      <c r="AH19" s="57"/>
      <c r="AI19" s="57"/>
      <c r="AJ19" s="57"/>
    </row>
    <row r="20" spans="1:36" ht="12.75" customHeight="1" x14ac:dyDescent="0.2">
      <c r="A20" s="55" t="s">
        <v>937</v>
      </c>
      <c r="C20" s="77">
        <f>'UT-E DIST'!C43</f>
        <v>966741.2200000002</v>
      </c>
      <c r="E20" s="77">
        <f>'UT-E DIST'!E43</f>
        <v>1048925.1400000001</v>
      </c>
      <c r="G20" s="77">
        <f>'UT-E DIST'!G43</f>
        <v>1452566.22</v>
      </c>
      <c r="I20" s="77">
        <f>'UT-E DIST'!I43</f>
        <v>1480850</v>
      </c>
      <c r="K20" s="77">
        <f>'UT-E DIST'!K43</f>
        <v>1480850</v>
      </c>
      <c r="M20" s="77">
        <f>'UT-E DIST'!M43</f>
        <v>1453446.8199999998</v>
      </c>
      <c r="O20" s="77">
        <f>'UT-E DIST'!O43</f>
        <v>0</v>
      </c>
      <c r="Q20" s="77">
        <f>'UT-E DIST'!Q43</f>
        <v>1453446.8199999998</v>
      </c>
      <c r="S20" s="77">
        <f>'UT-E DIST'!S43</f>
        <v>1565500</v>
      </c>
      <c r="U20" s="77">
        <f>'UT-E DIST'!U43</f>
        <v>1915000</v>
      </c>
      <c r="W20" s="77">
        <f>'UT-E DIST'!W43</f>
        <v>1800000</v>
      </c>
      <c r="Y20" s="77">
        <f>'UT-E DIST'!Y43</f>
        <v>319150</v>
      </c>
      <c r="Z20" s="57"/>
      <c r="AA20" s="58">
        <f>'UT-E DIST'!AA43</f>
        <v>0.21551811459634668</v>
      </c>
      <c r="AB20" s="57"/>
      <c r="AC20" s="77">
        <f>'UT-E DIST'!AC43</f>
        <v>346553.18000000005</v>
      </c>
      <c r="AD20" s="57"/>
      <c r="AE20" s="58">
        <f>'UT-E DIST'!AE43</f>
        <v>0.23843540419318549</v>
      </c>
      <c r="AF20" s="57"/>
      <c r="AG20" s="57"/>
      <c r="AH20" s="57"/>
      <c r="AI20" s="57"/>
      <c r="AJ20" s="57"/>
    </row>
    <row r="21" spans="1:36" ht="12.75" customHeight="1" x14ac:dyDescent="0.2">
      <c r="A21" s="59" t="s">
        <v>935</v>
      </c>
      <c r="B21" s="60"/>
      <c r="C21" s="79">
        <f>'UT-E TRE'!C38</f>
        <v>436415.22</v>
      </c>
      <c r="D21" s="80"/>
      <c r="E21" s="79">
        <f>'UT-E TRE'!E38</f>
        <v>508121.31000000011</v>
      </c>
      <c r="F21" s="80"/>
      <c r="G21" s="79">
        <f>'UT-E TRE'!G38</f>
        <v>567762.74</v>
      </c>
      <c r="H21" s="79"/>
      <c r="I21" s="79">
        <f>'UT-E TRE'!I38</f>
        <v>700250</v>
      </c>
      <c r="J21" s="79"/>
      <c r="K21" s="79">
        <f>'UT-E TRE'!K38</f>
        <v>700250</v>
      </c>
      <c r="L21" s="79"/>
      <c r="M21" s="79">
        <f>'UT-E TRE'!M38</f>
        <v>647062.95000000019</v>
      </c>
      <c r="N21" s="79"/>
      <c r="O21" s="79">
        <f>'UT-E TRE'!O38</f>
        <v>0</v>
      </c>
      <c r="P21" s="79"/>
      <c r="Q21" s="79">
        <f>'UT-E TRE'!Q38</f>
        <v>647062.95000000019</v>
      </c>
      <c r="R21" s="79"/>
      <c r="S21" s="79">
        <f>'UT-E TRE'!S38</f>
        <v>747000</v>
      </c>
      <c r="T21" s="79"/>
      <c r="U21" s="79">
        <f>'UT-E TRE'!U38</f>
        <v>841500</v>
      </c>
      <c r="V21" s="79"/>
      <c r="W21" s="79">
        <f>'UT-E TRE'!W38</f>
        <v>763000</v>
      </c>
      <c r="X21" s="79"/>
      <c r="Y21" s="79">
        <f>'UT-E TRE'!Y38</f>
        <v>62750</v>
      </c>
      <c r="Z21" s="62"/>
      <c r="AA21" s="63">
        <f>'UT-E TRE'!AA38</f>
        <v>8.9610853266690466E-2</v>
      </c>
      <c r="AB21" s="62"/>
      <c r="AC21" s="79">
        <f>'UT-E TRE'!AC38</f>
        <v>115937.04999999994</v>
      </c>
      <c r="AD21" s="62"/>
      <c r="AE21" s="63">
        <f>'UT-E TRE'!AE38</f>
        <v>0.17917429826572501</v>
      </c>
      <c r="AF21" s="57"/>
      <c r="AG21" s="57"/>
      <c r="AH21" s="57"/>
      <c r="AI21" s="57"/>
      <c r="AJ21" s="57"/>
    </row>
    <row r="22" spans="1:36" ht="12.75" customHeight="1" x14ac:dyDescent="0.2">
      <c r="A22" s="55" t="s">
        <v>938</v>
      </c>
      <c r="C22" s="77">
        <f>'UT-E COLL'!C45</f>
        <v>1268774.8500000001</v>
      </c>
      <c r="E22" s="77">
        <f>'UT-E COLL'!E45</f>
        <v>1645979.93</v>
      </c>
      <c r="G22" s="77">
        <f>'UT-E COLL'!G45</f>
        <v>1751033.52</v>
      </c>
      <c r="I22" s="77">
        <f>'UT-E COLL'!I45</f>
        <v>2015850</v>
      </c>
      <c r="K22" s="77">
        <f>'UT-E COLL'!K45</f>
        <v>2015850</v>
      </c>
      <c r="M22" s="77">
        <f>'UT-E COLL'!M45</f>
        <v>2445920.36</v>
      </c>
      <c r="O22" s="77">
        <f>'UT-E COLL'!O45</f>
        <v>0</v>
      </c>
      <c r="Q22" s="77">
        <f>'UT-E COLL'!Q45</f>
        <v>2445920.36</v>
      </c>
      <c r="S22" s="77">
        <f>'UT-E COLL'!S45</f>
        <v>2057500</v>
      </c>
      <c r="U22" s="77">
        <f>'UT-E COLL'!U45</f>
        <v>2187500</v>
      </c>
      <c r="W22" s="77">
        <f>'UT-E COLL'!W45</f>
        <v>2265500</v>
      </c>
      <c r="Y22" s="77">
        <f>'UT-E COLL'!Y45</f>
        <v>249650</v>
      </c>
      <c r="Z22" s="57"/>
      <c r="AA22" s="58">
        <f>'UT-E COLL'!AA45</f>
        <v>0.1238435399459285</v>
      </c>
      <c r="AB22" s="57"/>
      <c r="AC22" s="77">
        <f>'UT-E COLL'!AC45</f>
        <v>-180420.35999999993</v>
      </c>
      <c r="AD22" s="57"/>
      <c r="AE22" s="58">
        <f>'UT-E COLL'!AE45</f>
        <v>-7.3763791720512076E-2</v>
      </c>
      <c r="AF22" s="57"/>
      <c r="AG22" s="57"/>
      <c r="AH22" s="57"/>
      <c r="AI22" s="57"/>
      <c r="AJ22" s="57"/>
    </row>
    <row r="23" spans="1:36" ht="12.75" customHeight="1" x14ac:dyDescent="0.2">
      <c r="A23" s="59" t="s">
        <v>939</v>
      </c>
      <c r="B23" s="60"/>
      <c r="C23" s="79">
        <f>'UT-E REC'!C31</f>
        <v>853247.57999999984</v>
      </c>
      <c r="D23" s="80"/>
      <c r="E23" s="79">
        <f>'UT-E REC'!E31</f>
        <v>950445.62</v>
      </c>
      <c r="F23" s="80"/>
      <c r="G23" s="79">
        <f>'UT-E REC'!G31</f>
        <v>1051842.92</v>
      </c>
      <c r="H23" s="79"/>
      <c r="I23" s="79">
        <f>'UT-E REC'!I31</f>
        <v>1122300</v>
      </c>
      <c r="J23" s="79"/>
      <c r="K23" s="79">
        <f>'UT-E REC'!K31</f>
        <v>1122300</v>
      </c>
      <c r="L23" s="79"/>
      <c r="M23" s="79">
        <f>'UT-E REC'!M31</f>
        <v>1123054.04</v>
      </c>
      <c r="N23" s="79"/>
      <c r="O23" s="79">
        <f>'UT-E REC'!O31</f>
        <v>0</v>
      </c>
      <c r="P23" s="79"/>
      <c r="Q23" s="79">
        <f>'UT-E REC'!Q31</f>
        <v>1123054.04</v>
      </c>
      <c r="R23" s="79"/>
      <c r="S23" s="79">
        <f>'UT-E REC'!S31</f>
        <v>1165000</v>
      </c>
      <c r="T23" s="79"/>
      <c r="U23" s="79">
        <f>'UT-E REC'!U31</f>
        <v>1252000</v>
      </c>
      <c r="V23" s="79"/>
      <c r="W23" s="79">
        <f>'UT-E REC'!W31</f>
        <v>1275610</v>
      </c>
      <c r="X23" s="79"/>
      <c r="Y23" s="79">
        <f>'UT-E REC'!Y31</f>
        <v>153309.99999999991</v>
      </c>
      <c r="Z23" s="62"/>
      <c r="AA23" s="63">
        <f>'UT-E REC'!AA31</f>
        <v>0.13660340372449425</v>
      </c>
      <c r="AB23" s="62"/>
      <c r="AC23" s="79">
        <f>'UT-E REC'!AC31</f>
        <v>152555.9599999999</v>
      </c>
      <c r="AD23" s="62"/>
      <c r="AE23" s="63">
        <f>'UT-E REC'!AE31</f>
        <v>0.13584026642208588</v>
      </c>
      <c r="AF23" s="57"/>
      <c r="AG23" s="57"/>
      <c r="AH23" s="57"/>
      <c r="AI23" s="57"/>
      <c r="AJ23" s="57"/>
    </row>
    <row r="24" spans="1:36" ht="12.75" customHeight="1" x14ac:dyDescent="0.2">
      <c r="A24" s="55" t="s">
        <v>842</v>
      </c>
      <c r="C24" s="77">
        <f>'UT-E DEBT'!C21</f>
        <v>1449516.7700000003</v>
      </c>
      <c r="E24" s="77">
        <f>'UT-E DEBT'!E21</f>
        <v>1399452.78</v>
      </c>
      <c r="G24" s="77">
        <f>'UT-E DEBT'!G21</f>
        <v>1650241.25</v>
      </c>
      <c r="I24" s="77">
        <f>'UT-E DEBT'!I21</f>
        <v>1710820</v>
      </c>
      <c r="K24" s="77">
        <f>'UT-E DEBT'!K21</f>
        <v>1710820</v>
      </c>
      <c r="M24" s="77">
        <f>'UT-E DEBT'!M21</f>
        <v>1709211.98</v>
      </c>
      <c r="O24" s="77">
        <f>'UT-E DEBT'!O21</f>
        <v>0</v>
      </c>
      <c r="Q24" s="77">
        <f>'UT-E DEBT'!Q21</f>
        <v>1709211.98</v>
      </c>
      <c r="S24" s="77">
        <f>'UT-E DEBT'!S21</f>
        <v>1724600</v>
      </c>
      <c r="U24" s="77">
        <f>'UT-E DEBT'!U21</f>
        <v>1724600</v>
      </c>
      <c r="W24" s="77">
        <f>'UT-E DEBT'!W21</f>
        <v>1724600</v>
      </c>
      <c r="Y24" s="77">
        <f>'UT-E DEBT'!Y21</f>
        <v>13780</v>
      </c>
      <c r="Z24" s="57"/>
      <c r="AA24" s="58">
        <f>'UT-E DEBT'!AA21</f>
        <v>8.0546170842052348E-3</v>
      </c>
      <c r="AB24" s="57"/>
      <c r="AC24" s="77">
        <f>'UT-E DEBT'!AC21</f>
        <v>15388.020000000004</v>
      </c>
      <c r="AD24" s="57"/>
      <c r="AE24" s="58">
        <f>'UT-E DEBT'!AE21</f>
        <v>9.0029909572714346E-3</v>
      </c>
      <c r="AF24" s="57"/>
      <c r="AG24" s="57"/>
      <c r="AH24" s="57"/>
      <c r="AI24" s="57"/>
      <c r="AJ24" s="57"/>
    </row>
    <row r="25" spans="1:36" ht="12.75" customHeight="1" x14ac:dyDescent="0.2">
      <c r="A25" s="59" t="s">
        <v>1366</v>
      </c>
      <c r="B25" s="60"/>
      <c r="C25" s="79">
        <f>'UT-XFER TO'!C8</f>
        <v>0</v>
      </c>
      <c r="D25" s="80"/>
      <c r="E25" s="79">
        <f>'UT-XFER TO'!E8</f>
        <v>0</v>
      </c>
      <c r="F25" s="80"/>
      <c r="G25" s="79">
        <f>'UT-XFER TO'!G8</f>
        <v>0</v>
      </c>
      <c r="H25" s="79"/>
      <c r="I25" s="79">
        <f>'UT-XFER TO'!I8</f>
        <v>0</v>
      </c>
      <c r="J25" s="79"/>
      <c r="K25" s="79">
        <f>'UT-XFER TO'!K8</f>
        <v>0</v>
      </c>
      <c r="L25" s="79"/>
      <c r="M25" s="79">
        <f>'UT-XFER TO'!M8</f>
        <v>0</v>
      </c>
      <c r="N25" s="79"/>
      <c r="O25" s="79">
        <f>'UT-XFER TO'!O8</f>
        <v>0</v>
      </c>
      <c r="P25" s="79"/>
      <c r="Q25" s="79">
        <f>'UT-XFER TO'!Q8</f>
        <v>0</v>
      </c>
      <c r="R25" s="79"/>
      <c r="S25" s="79">
        <f>'UT-XFER TO'!S8</f>
        <v>600000</v>
      </c>
      <c r="T25" s="79"/>
      <c r="U25" s="79">
        <f>'UT-XFER TO'!U8</f>
        <v>600000</v>
      </c>
      <c r="V25" s="79"/>
      <c r="W25" s="79">
        <f>'UT-XFER TO'!W8</f>
        <v>1114490</v>
      </c>
      <c r="X25" s="79"/>
      <c r="Y25" s="79">
        <f>'UT-XFER TO'!Y8</f>
        <v>1114490</v>
      </c>
      <c r="Z25" s="62"/>
      <c r="AA25" s="63" t="e">
        <f>'UT-XFER TO'!AA8</f>
        <v>#DIV/0!</v>
      </c>
      <c r="AB25" s="62"/>
      <c r="AC25" s="79">
        <f>'UT-XFER TO'!AC8</f>
        <v>1114490</v>
      </c>
      <c r="AD25" s="62"/>
      <c r="AE25" s="63" t="e">
        <f>'UT-XFER TO'!AE8</f>
        <v>#DIV/0!</v>
      </c>
      <c r="AF25" s="57"/>
      <c r="AG25" s="57"/>
      <c r="AH25" s="57"/>
      <c r="AI25" s="57"/>
      <c r="AJ25" s="57"/>
    </row>
    <row r="26" spans="1:36" ht="12.75" customHeight="1" x14ac:dyDescent="0.2">
      <c r="A26" s="55" t="s">
        <v>1252</v>
      </c>
      <c r="C26" s="77">
        <f>SUM('UT-E CAP'!C5,'UT-E CAP'!C6,'UT-E CAP'!C7,'UT-E CAP'!C8,'UT-E CAP'!C11)</f>
        <v>204206.29</v>
      </c>
      <c r="E26" s="77">
        <f>SUM('UT-E CAP'!E5,'UT-E CAP'!E6,'UT-E CAP'!E7,'UT-E CAP'!E8,'UT-E CAP'!E11)</f>
        <v>631744.36</v>
      </c>
      <c r="G26" s="77">
        <f>SUM('UT-E CAP'!G5,'UT-E CAP'!G6,'UT-E CAP'!G7,'UT-E CAP'!G8,'UT-E CAP'!G11)</f>
        <v>337157.91000000003</v>
      </c>
      <c r="I26" s="77">
        <f>SUM('UT-E CAP'!I5,'UT-E CAP'!I6,'UT-E CAP'!I7,'UT-E CAP'!I8,'UT-E CAP'!I11)</f>
        <v>415000</v>
      </c>
      <c r="K26" s="77">
        <f>SUM('UT-E CAP'!K5,'UT-E CAP'!K6,'UT-E CAP'!K7,'UT-E CAP'!K8,'UT-E CAP'!K11)</f>
        <v>505000</v>
      </c>
      <c r="M26" s="77">
        <f>SUM('UT-E CAP'!M5,'UT-E CAP'!M6,'UT-E CAP'!M7,'UT-E CAP'!M8,'UT-E CAP'!M11)</f>
        <v>336771.25999999995</v>
      </c>
      <c r="O26" s="77">
        <f>SUM('UT-E CAP'!O5,'UT-E CAP'!O6,'UT-E CAP'!O7,'UT-E CAP'!O8,'UT-E CAP'!O11)</f>
        <v>0</v>
      </c>
      <c r="Q26" s="77">
        <f>SUM('UT-E CAP'!Q5,'UT-E CAP'!Q6,'UT-E CAP'!Q7,'UT-E CAP'!Q8,'UT-E CAP'!Q11)</f>
        <v>336771.25999999995</v>
      </c>
      <c r="S26" s="77">
        <f>SUM('UT-E CAP'!S5,'UT-E CAP'!S6,'UT-E CAP'!S7,'UT-E CAP'!S8,'UT-E CAP'!S11)</f>
        <v>1000000</v>
      </c>
      <c r="U26" s="77">
        <f>SUM('UT-E CAP'!U5,'UT-E CAP'!U6,'UT-E CAP'!U7,'UT-E CAP'!U8,'UT-E CAP'!U11)</f>
        <v>1103000</v>
      </c>
      <c r="W26" s="77">
        <f>SUM('UT-E CAP'!W5,'UT-E CAP'!W6,'UT-E CAP'!W7,'UT-E CAP'!W8,'UT-E CAP'!W11)</f>
        <v>1103000</v>
      </c>
      <c r="Y26" s="77">
        <f>SUM('UT-E CAP'!Y5,'UT-E CAP'!Y6,'UT-E CAP'!Y7,'UT-E CAP'!Y8,'UT-E CAP'!Y11)</f>
        <v>688000</v>
      </c>
      <c r="Z26" s="57"/>
      <c r="AA26" s="58">
        <f>PRODUCT(SUM(W26,-I26),1/W26)</f>
        <v>0.62375339981867639</v>
      </c>
      <c r="AB26" s="57"/>
      <c r="AC26" s="77">
        <f>SUM('UT-E CAP'!AC5,'UT-E CAP'!AC6,'UT-E CAP'!AC7,'UT-E CAP'!AC8,'UT-E CAP'!AC11)</f>
        <v>766228.74</v>
      </c>
      <c r="AD26" s="57"/>
      <c r="AE26" s="58">
        <f>PRODUCT(SUM(W26,-Q26),1/W26)</f>
        <v>0.69467700815956479</v>
      </c>
      <c r="AF26" s="57"/>
      <c r="AG26" s="57"/>
      <c r="AH26" s="57"/>
      <c r="AI26" s="57"/>
      <c r="AJ26" s="57"/>
    </row>
    <row r="27" spans="1:36" ht="12.75" customHeight="1" x14ac:dyDescent="0.2">
      <c r="A27" s="59" t="s">
        <v>1253</v>
      </c>
      <c r="B27" s="60"/>
      <c r="C27" s="79">
        <f>SUM('UT-E CAP'!C9,'UT-E CAP'!C10)</f>
        <v>5071751.4400000004</v>
      </c>
      <c r="D27" s="80"/>
      <c r="E27" s="79">
        <f>SUM('UT-E CAP'!E9,'UT-E CAP'!E10)</f>
        <v>1636931.17</v>
      </c>
      <c r="F27" s="80"/>
      <c r="G27" s="79">
        <f>SUM('UT-E CAP'!G9,'UT-E CAP'!G10)</f>
        <v>637008.8899999999</v>
      </c>
      <c r="H27" s="79"/>
      <c r="I27" s="79">
        <f>SUM('UT-E CAP'!I9,'UT-E CAP'!I10)</f>
        <v>2338000</v>
      </c>
      <c r="J27" s="79"/>
      <c r="K27" s="79">
        <f>SUM('UT-E CAP'!K9,'UT-E CAP'!K10)</f>
        <v>2338000</v>
      </c>
      <c r="L27" s="79"/>
      <c r="M27" s="79">
        <f>SUM('UT-E CAP'!M9,'UT-E CAP'!M10)</f>
        <v>1427005.0799999998</v>
      </c>
      <c r="N27" s="79"/>
      <c r="O27" s="79">
        <f>SUM('UT-E CAP'!O9,'UT-E CAP'!O10)</f>
        <v>0</v>
      </c>
      <c r="P27" s="79"/>
      <c r="Q27" s="79">
        <f>SUM('UT-E CAP'!Q9,'UT-E CAP'!Q10)</f>
        <v>1427005.0799999998</v>
      </c>
      <c r="R27" s="79"/>
      <c r="S27" s="79">
        <f>SUM('UT-E CAP'!S9,'UT-E CAP'!S10)</f>
        <v>2500000</v>
      </c>
      <c r="T27" s="79"/>
      <c r="U27" s="79">
        <f>SUM('UT-E CAP'!U9,'UT-E CAP'!U10)</f>
        <v>4100000</v>
      </c>
      <c r="V27" s="79"/>
      <c r="W27" s="79">
        <f>SUM('UT-E CAP'!W9,'UT-E CAP'!W10)</f>
        <v>4325000</v>
      </c>
      <c r="X27" s="79"/>
      <c r="Y27" s="79">
        <f>SUM('UT-E CAP'!Y9,'UT-E CAP'!Y10)</f>
        <v>1987000</v>
      </c>
      <c r="Z27" s="62"/>
      <c r="AA27" s="63">
        <f>PRODUCT(SUM(W27,-I27),1/W27)</f>
        <v>0.45942196531791907</v>
      </c>
      <c r="AB27" s="62"/>
      <c r="AC27" s="79">
        <f>SUM('UT-E CAP'!AC9,'UT-E CAP'!AC10)</f>
        <v>2897994.92</v>
      </c>
      <c r="AD27" s="62"/>
      <c r="AE27" s="63">
        <f>PRODUCT(SUM(W27,-Q27),1/W27)</f>
        <v>0.67005662890173412</v>
      </c>
      <c r="AF27" s="57"/>
      <c r="AG27" s="57"/>
      <c r="AH27" s="57"/>
      <c r="AI27" s="57"/>
      <c r="AJ27" s="57"/>
    </row>
    <row r="28" spans="1:36" ht="12.75" customHeight="1" x14ac:dyDescent="0.2">
      <c r="Z28" s="57"/>
      <c r="AA28" s="58"/>
      <c r="AB28" s="57"/>
      <c r="AD28" s="57"/>
      <c r="AE28" s="58"/>
      <c r="AF28" s="57"/>
      <c r="AG28" s="57"/>
      <c r="AH28" s="57"/>
      <c r="AI28" s="57"/>
      <c r="AJ28" s="57"/>
    </row>
    <row r="29" spans="1:36" ht="12.75" customHeight="1" thickBot="1" x14ac:dyDescent="0.25">
      <c r="A29" s="67" t="s">
        <v>943</v>
      </c>
      <c r="C29" s="83">
        <f>SUM(C18:C27)</f>
        <v>14643652.879999999</v>
      </c>
      <c r="E29" s="83">
        <f>SUM(E18:E27)</f>
        <v>12270901.889999999</v>
      </c>
      <c r="G29" s="83">
        <f>SUM(G18:G27)</f>
        <v>12919005.110000001</v>
      </c>
      <c r="I29" s="83">
        <f>SUM(I18:I27)</f>
        <v>13665970</v>
      </c>
      <c r="K29" s="83">
        <f>SUM(K18:K27)</f>
        <v>13755970</v>
      </c>
      <c r="M29" s="82">
        <f>SUM(M18:M27)</f>
        <v>13084205.010000002</v>
      </c>
      <c r="O29" s="82">
        <f>SUM(O18:O27)</f>
        <v>0</v>
      </c>
      <c r="Q29" s="83">
        <f>SUM(Q18:Q27)</f>
        <v>13084205.010000002</v>
      </c>
      <c r="S29" s="82">
        <f>SUM(S18:S27)</f>
        <v>14649000</v>
      </c>
      <c r="U29" s="82">
        <f>SUM(U18:U27)</f>
        <v>17361350</v>
      </c>
      <c r="W29" s="83">
        <f>SUM(W18:W27)</f>
        <v>17955150</v>
      </c>
      <c r="Y29" s="82">
        <f>SUM(Y18:Y27)</f>
        <v>4289180</v>
      </c>
      <c r="Z29" s="57"/>
      <c r="AA29" s="125">
        <f>IF(W29=0,"N/A",PRODUCT(Y29,1/I29))</f>
        <v>0.31385843814965203</v>
      </c>
      <c r="AB29" s="57"/>
      <c r="AC29" s="82">
        <f>SUM(AC18:AC27)</f>
        <v>4870944.99</v>
      </c>
      <c r="AD29" s="57"/>
      <c r="AE29" s="125">
        <f>IF(W29=0,"N/A",PRODUCT(AC29,1/Q29))</f>
        <v>0.37227672497314374</v>
      </c>
      <c r="AF29" s="57"/>
      <c r="AG29" s="57"/>
      <c r="AH29" s="57"/>
      <c r="AI29" s="57"/>
      <c r="AJ29" s="57"/>
    </row>
    <row r="30" spans="1:36" ht="12.75" customHeight="1" thickTop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x14ac:dyDescent="0.2">
      <c r="A33" s="67" t="s">
        <v>786</v>
      </c>
      <c r="C33" s="88">
        <f>SUM(C13,-C29)</f>
        <v>-4731570.6699999981</v>
      </c>
      <c r="E33" s="88">
        <f>SUM(E13,-E29)</f>
        <v>-595940.83999999985</v>
      </c>
      <c r="G33" s="88">
        <f>SUM(G13,-G29)</f>
        <v>21957.299999998882</v>
      </c>
      <c r="I33" s="88">
        <f>SUM(I13,-I29)</f>
        <v>-1184820</v>
      </c>
      <c r="K33" s="88">
        <f>SUM(K13,-K29)</f>
        <v>-1259820</v>
      </c>
      <c r="M33" s="88">
        <f>SUM(M13,-M29)</f>
        <v>-427758.13000000082</v>
      </c>
      <c r="O33" s="88">
        <f>SUM(O13,-O29)</f>
        <v>0</v>
      </c>
      <c r="Q33" s="88">
        <f>SUM(Q13,-Q29)</f>
        <v>-427758.13000000082</v>
      </c>
      <c r="S33" s="88">
        <f>SUM(S13,-S29)</f>
        <v>-1539750</v>
      </c>
      <c r="U33" s="88">
        <f>SUM(U13,-U29)</f>
        <v>-3872100</v>
      </c>
      <c r="W33" s="88">
        <f>SUM(W13,-W29)</f>
        <v>0</v>
      </c>
      <c r="Y33" s="88">
        <f>SUM(Y13,-Y29)</f>
        <v>1184820</v>
      </c>
      <c r="Z33" s="57"/>
      <c r="AB33" s="57"/>
      <c r="AC33" s="88">
        <f>SUM(AC13,-AC29)</f>
        <v>427758.12999999989</v>
      </c>
      <c r="AD33" s="57"/>
      <c r="AF33" s="57"/>
      <c r="AG33" s="57"/>
      <c r="AH33" s="57"/>
      <c r="AI33" s="57"/>
      <c r="AJ33" s="57"/>
    </row>
    <row r="34" spans="1:36" ht="12.75" customHeight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A35" s="70" t="s">
        <v>787</v>
      </c>
      <c r="C35" s="77">
        <v>9669828.0600000005</v>
      </c>
      <c r="E35" s="77">
        <f>C39</f>
        <v>4938257.3900000025</v>
      </c>
      <c r="G35" s="77">
        <f>E39</f>
        <v>4342316.5500000026</v>
      </c>
      <c r="I35" s="77">
        <f>G39</f>
        <v>4364273.8500000015</v>
      </c>
      <c r="K35" s="77">
        <f>G39</f>
        <v>4364273.8500000015</v>
      </c>
      <c r="Q35" s="77">
        <f>G39</f>
        <v>4364273.8500000015</v>
      </c>
      <c r="W35" s="77">
        <f>Q39</f>
        <v>3936515.7200000007</v>
      </c>
      <c r="Z35" s="57"/>
      <c r="AB35" s="57"/>
      <c r="AD35" s="57"/>
    </row>
    <row r="36" spans="1:36" ht="12.75" customHeight="1" x14ac:dyDescent="0.2">
      <c r="Z36" s="57"/>
      <c r="AB36" s="57"/>
      <c r="AD36" s="57"/>
    </row>
    <row r="37" spans="1:36" ht="12.75" customHeight="1" x14ac:dyDescent="0.2">
      <c r="A37" s="70" t="s">
        <v>788</v>
      </c>
      <c r="C37" s="77">
        <v>0</v>
      </c>
      <c r="E37" s="77">
        <v>0</v>
      </c>
      <c r="G37" s="77">
        <v>0</v>
      </c>
      <c r="I37" s="77">
        <v>0</v>
      </c>
      <c r="K37" s="77">
        <v>0</v>
      </c>
      <c r="Q37" s="77">
        <v>0</v>
      </c>
      <c r="W37" s="77">
        <f>'UT-XFER TO'!W7</f>
        <v>514490</v>
      </c>
      <c r="Z37" s="57"/>
      <c r="AB37" s="57"/>
      <c r="AD37" s="57"/>
    </row>
    <row r="38" spans="1:36" ht="12.75" customHeight="1" x14ac:dyDescent="0.2">
      <c r="Z38" s="57"/>
      <c r="AB38" s="57"/>
      <c r="AD38" s="57"/>
    </row>
    <row r="39" spans="1:36" ht="12.75" customHeight="1" thickBot="1" x14ac:dyDescent="0.25">
      <c r="A39" s="67" t="s">
        <v>789</v>
      </c>
      <c r="C39" s="83">
        <f>SUM(C35,C33,C37)</f>
        <v>4938257.3900000025</v>
      </c>
      <c r="E39" s="83">
        <f>SUM(E35,E33,E37)</f>
        <v>4342316.5500000026</v>
      </c>
      <c r="G39" s="83">
        <f>SUM(G35,G33,G37)</f>
        <v>4364273.8500000015</v>
      </c>
      <c r="I39" s="83">
        <f>SUM(I35,I33,I37)</f>
        <v>3179453.8500000015</v>
      </c>
      <c r="K39" s="83">
        <f>SUM(K35,K33,K37)</f>
        <v>3104453.8500000015</v>
      </c>
      <c r="Q39" s="83">
        <f>SUM(Q35,Q33,Q37)</f>
        <v>3936515.7200000007</v>
      </c>
      <c r="W39" s="83">
        <f>SUM(W35,W33,W37)</f>
        <v>4451005.7200000007</v>
      </c>
      <c r="Z39" s="57"/>
      <c r="AB39" s="57"/>
      <c r="AD39" s="57"/>
    </row>
    <row r="40" spans="1:36" ht="12.75" customHeight="1" thickTop="1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ht="12.75" customHeight="1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ht="12.75" customHeight="1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ht="12.75" customHeight="1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CFCE-1191-46C5-BF1D-F7F9FFABA3E5}">
  <sheetPr>
    <pageSetUpPr fitToPage="1"/>
  </sheetPr>
  <dimension ref="A1:U45"/>
  <sheetViews>
    <sheetView showGridLines="0" workbookViewId="0">
      <selection activeCell="T8" sqref="T8"/>
    </sheetView>
  </sheetViews>
  <sheetFormatPr defaultColWidth="9.140625" defaultRowHeight="12.75" x14ac:dyDescent="0.2"/>
  <cols>
    <col min="1" max="1" width="51.5703125" style="56" bestFit="1" customWidth="1"/>
    <col min="2" max="2" width="14.7109375" style="56" customWidth="1"/>
    <col min="3" max="3" width="1.7109375" style="56" customWidth="1"/>
    <col min="4" max="4" width="14.7109375" style="56" customWidth="1"/>
    <col min="5" max="5" width="1.7109375" style="56" customWidth="1"/>
    <col min="6" max="6" width="14.7109375" style="56" customWidth="1"/>
    <col min="7" max="7" width="1.7109375" style="56" customWidth="1"/>
    <col min="8" max="8" width="14.7109375" style="56" customWidth="1"/>
    <col min="9" max="9" width="1.7109375" style="56" customWidth="1"/>
    <col min="10" max="10" width="14.7109375" style="56" customWidth="1"/>
    <col min="11" max="11" width="1.7109375" style="56" customWidth="1"/>
    <col min="12" max="12" width="14.7109375" style="56" customWidth="1"/>
    <col min="13" max="13" width="1.7109375" style="56" customWidth="1"/>
    <col min="14" max="14" width="14.7109375" style="56" customWidth="1"/>
    <col min="15" max="15" width="1.7109375" style="56" customWidth="1"/>
    <col min="16" max="16" width="14.7109375" style="56" customWidth="1"/>
    <col min="17" max="17" width="1.7109375" style="56" customWidth="1"/>
    <col min="18" max="18" width="14.7109375" style="56" customWidth="1"/>
    <col min="19" max="16384" width="9.140625" style="56"/>
  </cols>
  <sheetData>
    <row r="1" spans="1:21" ht="18.75" x14ac:dyDescent="0.3">
      <c r="A1" s="128" t="s">
        <v>1297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2"/>
      <c r="T1" s="72"/>
      <c r="U1" s="72"/>
    </row>
    <row r="2" spans="1:21" x14ac:dyDescent="0.2">
      <c r="A2" s="72"/>
      <c r="B2" s="71" t="s">
        <v>1274</v>
      </c>
      <c r="C2" s="71"/>
      <c r="D2" s="71" t="s">
        <v>1275</v>
      </c>
      <c r="E2" s="71"/>
      <c r="F2" s="71" t="s">
        <v>1276</v>
      </c>
      <c r="G2" s="71"/>
      <c r="H2" s="71" t="s">
        <v>1277</v>
      </c>
      <c r="I2" s="71"/>
      <c r="J2" s="71" t="s">
        <v>1278</v>
      </c>
      <c r="K2" s="71"/>
      <c r="L2" s="71" t="s">
        <v>1279</v>
      </c>
      <c r="M2" s="71"/>
      <c r="N2" s="71" t="s">
        <v>1280</v>
      </c>
      <c r="O2" s="71"/>
      <c r="P2" s="71" t="s">
        <v>1281</v>
      </c>
      <c r="Q2" s="71"/>
      <c r="R2" s="71" t="s">
        <v>1282</v>
      </c>
      <c r="S2" s="72"/>
      <c r="T2" s="72"/>
      <c r="U2" s="72"/>
    </row>
    <row r="3" spans="1:21" x14ac:dyDescent="0.2">
      <c r="A3" s="73" t="s">
        <v>1284</v>
      </c>
      <c r="B3" s="92">
        <f>'UT-R'!C32</f>
        <v>5046553.1199999992</v>
      </c>
      <c r="C3" s="92"/>
      <c r="D3" s="92">
        <f>'UT-R'!E32</f>
        <v>5126281.66</v>
      </c>
      <c r="E3" s="92"/>
      <c r="F3" s="92">
        <f>'UT-R'!G32</f>
        <v>6467688.1699999999</v>
      </c>
      <c r="G3" s="92"/>
      <c r="H3" s="92">
        <f>'UT-R'!Q32</f>
        <v>6071501.9300000006</v>
      </c>
      <c r="I3" s="92"/>
      <c r="J3" s="92">
        <f>'UT-R'!W32</f>
        <v>5800400</v>
      </c>
      <c r="K3" s="92"/>
      <c r="L3" s="92">
        <v>7230000</v>
      </c>
      <c r="M3" s="92"/>
      <c r="N3" s="92">
        <v>7650000</v>
      </c>
      <c r="O3" s="92"/>
      <c r="P3" s="92">
        <v>8100000</v>
      </c>
      <c r="Q3" s="92"/>
      <c r="R3" s="92">
        <v>8580000</v>
      </c>
      <c r="S3" s="72"/>
      <c r="T3" s="72"/>
      <c r="U3" s="72"/>
    </row>
    <row r="4" spans="1:21" x14ac:dyDescent="0.2">
      <c r="A4" s="72" t="s">
        <v>1285</v>
      </c>
      <c r="B4" s="91">
        <f>'UT-R'!C42</f>
        <v>3443087.9000000004</v>
      </c>
      <c r="C4" s="91"/>
      <c r="D4" s="91">
        <f>'UT-R'!E42</f>
        <v>4274727.04</v>
      </c>
      <c r="E4" s="91"/>
      <c r="F4" s="91">
        <f>'UT-R'!G42</f>
        <v>4972552.1199999992</v>
      </c>
      <c r="G4" s="91"/>
      <c r="H4" s="91">
        <f>'UT-R'!Q42</f>
        <v>4607080.29</v>
      </c>
      <c r="I4" s="91"/>
      <c r="J4" s="91">
        <f>'UT-R'!W42</f>
        <v>4873000</v>
      </c>
      <c r="K4" s="91"/>
      <c r="L4" s="91">
        <v>52500</v>
      </c>
      <c r="M4" s="91"/>
      <c r="N4" s="91">
        <v>56000</v>
      </c>
      <c r="O4" s="91"/>
      <c r="P4" s="91">
        <v>54500</v>
      </c>
      <c r="Q4" s="91"/>
      <c r="R4" s="91">
        <v>56500</v>
      </c>
      <c r="S4" s="72"/>
      <c r="T4" s="72"/>
      <c r="U4" s="72"/>
    </row>
    <row r="5" spans="1:21" x14ac:dyDescent="0.2">
      <c r="A5" s="73" t="s">
        <v>1286</v>
      </c>
      <c r="B5" s="92">
        <f>'UT-R'!C49</f>
        <v>1101200.1600000001</v>
      </c>
      <c r="C5" s="92"/>
      <c r="D5" s="92">
        <f>'UT-R'!E49</f>
        <v>1203977.68</v>
      </c>
      <c r="E5" s="92"/>
      <c r="F5" s="92">
        <f>'UT-R'!G49</f>
        <v>1285816.6499999999</v>
      </c>
      <c r="G5" s="92"/>
      <c r="H5" s="92">
        <f>'UT-R'!Q49</f>
        <v>1395871.31</v>
      </c>
      <c r="I5" s="92"/>
      <c r="J5" s="92">
        <f>'UT-R'!W49</f>
        <v>1515000</v>
      </c>
      <c r="K5" s="92"/>
      <c r="L5" s="92">
        <v>3350000</v>
      </c>
      <c r="M5" s="92"/>
      <c r="N5" s="92">
        <v>3575000</v>
      </c>
      <c r="O5" s="92"/>
      <c r="P5" s="92">
        <v>3800000</v>
      </c>
      <c r="Q5" s="92"/>
      <c r="R5" s="92">
        <v>4100000</v>
      </c>
      <c r="S5" s="72"/>
      <c r="T5" s="72"/>
      <c r="U5" s="72"/>
    </row>
    <row r="6" spans="1:21" x14ac:dyDescent="0.2">
      <c r="A6" s="72" t="s">
        <v>1287</v>
      </c>
      <c r="B6" s="91">
        <f>SUM('UT-R'!C19,'UT-R'!C54,'UT-R'!C58)</f>
        <v>321241.02999999997</v>
      </c>
      <c r="C6" s="91"/>
      <c r="D6" s="91">
        <f>SUM('UT-R'!E19,'UT-R'!E54,'UT-R'!E58)</f>
        <v>1069974.6700000002</v>
      </c>
      <c r="E6" s="91"/>
      <c r="F6" s="91">
        <f>SUM('UT-R'!G19,'UT-R'!G54,'UT-R'!G58)</f>
        <v>214905.47</v>
      </c>
      <c r="G6" s="91"/>
      <c r="H6" s="91">
        <f>SUM('UT-R'!Q19,'UT-R'!Q54,'UT-R'!Q58)</f>
        <v>581993.35000000009</v>
      </c>
      <c r="I6" s="91"/>
      <c r="J6" s="91">
        <f>SUM('UT-R'!W19,'UT-R'!W54,'UT-R'!W58)</f>
        <v>938750</v>
      </c>
      <c r="K6" s="91"/>
      <c r="L6" s="91">
        <v>145000</v>
      </c>
      <c r="M6" s="91"/>
      <c r="N6" s="91">
        <v>148900</v>
      </c>
      <c r="O6" s="91"/>
      <c r="P6" s="91">
        <v>152000</v>
      </c>
      <c r="Q6" s="91"/>
      <c r="R6" s="91">
        <v>155000</v>
      </c>
      <c r="S6" s="72"/>
      <c r="T6" s="72"/>
      <c r="U6" s="72"/>
    </row>
    <row r="7" spans="1:21" x14ac:dyDescent="0.2">
      <c r="A7" s="73" t="s">
        <v>1447</v>
      </c>
      <c r="B7" s="92">
        <v>0</v>
      </c>
      <c r="C7" s="92"/>
      <c r="D7" s="92">
        <v>0</v>
      </c>
      <c r="E7" s="92"/>
      <c r="F7" s="92">
        <v>0</v>
      </c>
      <c r="G7" s="92"/>
      <c r="H7" s="92">
        <v>0</v>
      </c>
      <c r="I7" s="92"/>
      <c r="J7" s="92">
        <f>'UT-R'!W63</f>
        <v>4828000</v>
      </c>
      <c r="K7" s="92"/>
      <c r="L7" s="92">
        <v>4389673</v>
      </c>
      <c r="M7" s="92"/>
      <c r="N7" s="92">
        <v>6974928</v>
      </c>
      <c r="O7" s="92"/>
      <c r="P7" s="92">
        <v>11303814</v>
      </c>
      <c r="Q7" s="92"/>
      <c r="R7" s="92">
        <v>4107717</v>
      </c>
      <c r="S7" s="72"/>
      <c r="T7" s="72"/>
      <c r="U7" s="72"/>
    </row>
    <row r="8" spans="1:21" x14ac:dyDescent="0.2">
      <c r="A8" s="72"/>
      <c r="B8" s="96"/>
      <c r="C8" s="91"/>
      <c r="D8" s="96"/>
      <c r="E8" s="91"/>
      <c r="F8" s="96"/>
      <c r="G8" s="91"/>
      <c r="H8" s="96"/>
      <c r="I8" s="91"/>
      <c r="J8" s="96"/>
      <c r="K8" s="91"/>
      <c r="L8" s="96"/>
      <c r="M8" s="91"/>
      <c r="N8" s="96"/>
      <c r="O8" s="91"/>
      <c r="P8" s="96"/>
      <c r="Q8" s="91"/>
      <c r="R8" s="96"/>
      <c r="S8" s="72"/>
      <c r="T8" s="72"/>
      <c r="U8" s="72"/>
    </row>
    <row r="9" spans="1:21" x14ac:dyDescent="0.2">
      <c r="A9" s="74" t="s">
        <v>1118</v>
      </c>
      <c r="B9" s="93">
        <f>SUM(B3:B7)</f>
        <v>9912082.209999999</v>
      </c>
      <c r="C9" s="93"/>
      <c r="D9" s="93">
        <f>SUM(D3:D7)</f>
        <v>11674961.049999999</v>
      </c>
      <c r="E9" s="93"/>
      <c r="F9" s="93">
        <f>SUM(F3:F7)</f>
        <v>12940962.41</v>
      </c>
      <c r="G9" s="93"/>
      <c r="H9" s="93">
        <f>SUM(H3:H7)</f>
        <v>12656446.880000001</v>
      </c>
      <c r="I9" s="93"/>
      <c r="J9" s="93">
        <f>SUM(J3:J7)</f>
        <v>17955150</v>
      </c>
      <c r="K9" s="93"/>
      <c r="L9" s="93">
        <f>SUM(L3:L7)</f>
        <v>15167173</v>
      </c>
      <c r="M9" s="93"/>
      <c r="N9" s="93">
        <f>SUM(N3:N7)</f>
        <v>18404828</v>
      </c>
      <c r="O9" s="93"/>
      <c r="P9" s="93">
        <f>SUM(P3:P7)</f>
        <v>23410314</v>
      </c>
      <c r="Q9" s="93"/>
      <c r="R9" s="93">
        <f>SUM(R3:R7)</f>
        <v>16999217</v>
      </c>
      <c r="S9" s="72"/>
      <c r="T9" s="72"/>
      <c r="U9" s="72"/>
    </row>
    <row r="10" spans="1:2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spans="1:21" ht="18.75" x14ac:dyDescent="0.3">
      <c r="A11" s="128" t="s">
        <v>1296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72"/>
      <c r="T11" s="72"/>
      <c r="U11" s="72"/>
    </row>
    <row r="12" spans="1:21" x14ac:dyDescent="0.2">
      <c r="A12" s="72"/>
      <c r="B12" s="71" t="s">
        <v>1274</v>
      </c>
      <c r="C12" s="71"/>
      <c r="D12" s="71" t="s">
        <v>1275</v>
      </c>
      <c r="E12" s="71"/>
      <c r="F12" s="71" t="s">
        <v>1276</v>
      </c>
      <c r="G12" s="71"/>
      <c r="H12" s="71" t="s">
        <v>1277</v>
      </c>
      <c r="I12" s="71"/>
      <c r="J12" s="71" t="s">
        <v>1278</v>
      </c>
      <c r="K12" s="71"/>
      <c r="L12" s="71" t="s">
        <v>1279</v>
      </c>
      <c r="M12" s="71"/>
      <c r="N12" s="71" t="s">
        <v>1280</v>
      </c>
      <c r="O12" s="71"/>
      <c r="P12" s="71" t="s">
        <v>1281</v>
      </c>
      <c r="Q12" s="71"/>
      <c r="R12" s="71" t="s">
        <v>1282</v>
      </c>
      <c r="S12" s="72"/>
      <c r="T12" s="72"/>
      <c r="U12" s="72"/>
    </row>
    <row r="13" spans="1:21" x14ac:dyDescent="0.2">
      <c r="A13" s="72" t="s">
        <v>1246</v>
      </c>
      <c r="B13" s="91">
        <f>SUM('UT-E ADM'!C13,'UT-E PROD'!C13,'UT-E DIST'!C13,'UT-E TRE'!C13,'UT-E COLL'!C13,'UT-E REC'!C14)</f>
        <v>2271897.2799999998</v>
      </c>
      <c r="C13" s="91"/>
      <c r="D13" s="91">
        <f>SUM('UT-E ADM'!E13,'UT-E PROD'!E13,'UT-E DIST'!E13,'UT-E TRE'!E13,'UT-E COLL'!E13,'UT-E REC'!E14)</f>
        <v>2561201.48</v>
      </c>
      <c r="E13" s="91"/>
      <c r="F13" s="91">
        <f>SUM('UT-E ADM'!G13,'UT-E PROD'!G13,'UT-E DIST'!G13,'UT-E TRE'!G13,'UT-E COLL'!G13,'UT-E REC'!G14)</f>
        <v>2615780.0499999998</v>
      </c>
      <c r="G13" s="91"/>
      <c r="H13" s="91">
        <f>SUM('UT-E ADM'!Q13,'UT-E PROD'!Q13,'UT-E DIST'!Q13,'UT-E TRE'!Q13,'UT-E COLL'!Q13,'UT-E REC'!Q14)</f>
        <v>2988226.6</v>
      </c>
      <c r="I13" s="91"/>
      <c r="J13" s="91">
        <f>SUM('UT-E ADM'!W13,'UT-E PROD'!W13,'UT-E DIST'!W13,'UT-E TRE'!W13,'UT-E COLL'!W13,'UT-E REC'!W14)</f>
        <v>3383000</v>
      </c>
      <c r="K13" s="91"/>
      <c r="L13" s="91">
        <v>3598497.1</v>
      </c>
      <c r="M13" s="91"/>
      <c r="N13" s="91">
        <v>3792456.09</v>
      </c>
      <c r="O13" s="91"/>
      <c r="P13" s="91">
        <v>3969563.7</v>
      </c>
      <c r="Q13" s="91"/>
      <c r="R13" s="91">
        <v>4154942.64</v>
      </c>
      <c r="S13" s="72"/>
      <c r="T13" s="72"/>
      <c r="U13" s="72"/>
    </row>
    <row r="14" spans="1:21" x14ac:dyDescent="0.2">
      <c r="A14" s="73" t="s">
        <v>1247</v>
      </c>
      <c r="B14" s="92">
        <f>SUM('UT-E ADM'!C35,'UT-E ADM'!C40,'UT-E ADM'!C56,'UT-E PROD'!C23,'UT-E PROD'!C32,'UT-E PROD'!C39,'UT-E DIST'!C22,'UT-E DIST'!C30,'UT-E DIST'!C41,'UT-E TRE'!C21,'UT-E TRE'!C28,'UT-E TRE'!C36,'UT-E COLL'!C22,'UT-E COLL'!C33,'UT-E COLL'!C43,'UT-E REC'!C21,'UT-E REC'!C25,'UT-E REC'!C29)</f>
        <v>5646281.1000000006</v>
      </c>
      <c r="C14" s="92"/>
      <c r="D14" s="92">
        <f>SUM('UT-E ADM'!E35,'UT-E ADM'!E40,'UT-E ADM'!E56,'UT-E PROD'!E23,'UT-E PROD'!E32,'UT-E PROD'!E39,'UT-E DIST'!E22,'UT-E DIST'!E30,'UT-E DIST'!E41,'UT-E TRE'!E21,'UT-E TRE'!E28,'UT-E TRE'!E36,'UT-E COLL'!E22,'UT-E COLL'!E33,'UT-E COLL'!E43,'UT-E REC'!E21,'UT-E REC'!E25,'UT-E REC'!E29)</f>
        <v>6041572.1000000006</v>
      </c>
      <c r="E14" s="92"/>
      <c r="F14" s="92">
        <f>SUM('UT-E ADM'!G35,'UT-E ADM'!G40,'UT-E ADM'!G56,'UT-E PROD'!G23,'UT-E PROD'!G32,'UT-E PROD'!G39,'UT-E DIST'!G22,'UT-E DIST'!G30,'UT-E DIST'!G41,'UT-E TRE'!G21,'UT-E TRE'!G28,'UT-E TRE'!G36,'UT-E COLL'!G22,'UT-E COLL'!G33,'UT-E COLL'!G43,'UT-E REC'!G21,'UT-E REC'!G25,'UT-E REC'!G29)</f>
        <v>7678817.0099999998</v>
      </c>
      <c r="G14" s="92"/>
      <c r="H14" s="92">
        <f>SUM('UT-E ADM'!Q35,'UT-E ADM'!Q40,'UT-E ADM'!Q56,'UT-E PROD'!Q23,'UT-E PROD'!Q32,'UT-E PROD'!Q39,'UT-E DIST'!Q22,'UT-E DIST'!Q30,'UT-E DIST'!Q41,'UT-E TRE'!Q21,'UT-E TRE'!Q28,'UT-E TRE'!Q36,'UT-E COLL'!Q22,'UT-E COLL'!Q33,'UT-E COLL'!Q43,'UT-E REC'!Q21,'UT-E REC'!Q25,'UT-E REC'!Q29)</f>
        <v>6622990.0899999999</v>
      </c>
      <c r="I14" s="92"/>
      <c r="J14" s="92">
        <f>SUM('UT-E ADM'!W35,'UT-E ADM'!W40,'UT-E ADM'!W56,'UT-E PROD'!W23,'UT-E PROD'!W32,'UT-E PROD'!W39,'UT-E DIST'!W22,'UT-E DIST'!W30,'UT-E DIST'!W41,'UT-E TRE'!W21,'UT-E TRE'!W28,'UT-E TRE'!W36,'UT-E COLL'!W22,'UT-E COLL'!W33,'UT-E COLL'!W43,'UT-E REC'!W21,'UT-E REC'!W25,'UT-E REC'!W29)</f>
        <v>6305060</v>
      </c>
      <c r="K14" s="92"/>
      <c r="L14" s="92">
        <v>6980374.8700000001</v>
      </c>
      <c r="M14" s="92"/>
      <c r="N14" s="92">
        <v>8090534.0899999999</v>
      </c>
      <c r="O14" s="92"/>
      <c r="P14" s="92">
        <v>8586483.8399999999</v>
      </c>
      <c r="Q14" s="92"/>
      <c r="R14" s="92">
        <v>9304313.8900000006</v>
      </c>
      <c r="S14" s="72"/>
      <c r="T14" s="72"/>
      <c r="U14" s="72"/>
    </row>
    <row r="15" spans="1:21" x14ac:dyDescent="0.2">
      <c r="A15" s="72" t="s">
        <v>1288</v>
      </c>
      <c r="B15" s="91">
        <f>SUM('UT-E DEBT'!C21)</f>
        <v>1449516.7700000003</v>
      </c>
      <c r="C15" s="91"/>
      <c r="D15" s="91">
        <f>SUM('UT-E DEBT'!E21)</f>
        <v>1399452.78</v>
      </c>
      <c r="E15" s="91"/>
      <c r="F15" s="91">
        <f>SUM('UT-E DEBT'!G21)</f>
        <v>1650241.25</v>
      </c>
      <c r="G15" s="91"/>
      <c r="H15" s="91">
        <f>SUM('UT-E DEBT'!Q21)</f>
        <v>1709211.98</v>
      </c>
      <c r="I15" s="91"/>
      <c r="J15" s="91">
        <f>SUM('UT-E DEBT'!W21)</f>
        <v>1724600</v>
      </c>
      <c r="K15" s="91"/>
      <c r="L15" s="91">
        <v>1765300.56</v>
      </c>
      <c r="M15" s="91"/>
      <c r="N15" s="91">
        <v>1789838.27</v>
      </c>
      <c r="O15" s="91"/>
      <c r="P15" s="91">
        <v>1774266.41</v>
      </c>
      <c r="Q15" s="91"/>
      <c r="R15" s="91">
        <v>1793960.77</v>
      </c>
      <c r="S15" s="72"/>
      <c r="T15" s="72"/>
      <c r="U15" s="72"/>
    </row>
    <row r="16" spans="1:21" x14ac:dyDescent="0.2">
      <c r="A16" s="73" t="s">
        <v>1248</v>
      </c>
      <c r="B16" s="92">
        <f>SUM('UT-E CAP'!C5,'UT-E CAP'!C6,'UT-E CAP'!C7,'UT-E CAP'!C8,'UT-E CAP'!C11)</f>
        <v>204206.29</v>
      </c>
      <c r="C16" s="92"/>
      <c r="D16" s="92">
        <f>SUM('UT-E CAP'!E5,'UT-E CAP'!E6,'UT-E CAP'!E7,'UT-E CAP'!E8)</f>
        <v>599300.52</v>
      </c>
      <c r="E16" s="92"/>
      <c r="F16" s="92">
        <f>SUM('UT-E CAP'!G5,'UT-E CAP'!G6,'UT-E CAP'!G7,'UT-E CAP'!G8)</f>
        <v>320676.91000000003</v>
      </c>
      <c r="G16" s="92"/>
      <c r="H16" s="92">
        <f>SUM('UT-E CAP'!Q5,'UT-E CAP'!Q6,'UT-E CAP'!Q7,'UT-E CAP'!Q8)</f>
        <v>336771.25999999995</v>
      </c>
      <c r="I16" s="92"/>
      <c r="J16" s="92">
        <f>SUM('UT-E CAP'!W5,'UT-E CAP'!W6,'UT-E CAP'!W7,'UT-E CAP'!W8)</f>
        <v>1103000</v>
      </c>
      <c r="K16" s="92"/>
      <c r="L16" s="92">
        <v>698000</v>
      </c>
      <c r="M16" s="92"/>
      <c r="N16" s="92">
        <v>557000</v>
      </c>
      <c r="O16" s="92"/>
      <c r="P16" s="92">
        <v>680000</v>
      </c>
      <c r="Q16" s="92"/>
      <c r="R16" s="92">
        <v>596000</v>
      </c>
      <c r="S16" s="72"/>
      <c r="T16" s="72"/>
      <c r="U16" s="72"/>
    </row>
    <row r="17" spans="1:21" x14ac:dyDescent="0.2">
      <c r="A17" s="72" t="s">
        <v>1289</v>
      </c>
      <c r="B17" s="91">
        <f>SUM('UT-E CAP'!C9,'UT-E CAP'!C10)</f>
        <v>5071751.4400000004</v>
      </c>
      <c r="C17" s="91"/>
      <c r="D17" s="91">
        <f>SUM('UT-E CAP'!E9,'UT-E CAP'!E10)</f>
        <v>1636931.17</v>
      </c>
      <c r="E17" s="91"/>
      <c r="F17" s="91">
        <f>SUM('UT-E CAP'!G9,'UT-E CAP'!G10)</f>
        <v>637008.8899999999</v>
      </c>
      <c r="G17" s="91"/>
      <c r="H17" s="91">
        <f>SUM('UT-E CAP'!Q9,'UT-E CAP'!Q10)</f>
        <v>1427005.0799999998</v>
      </c>
      <c r="I17" s="91"/>
      <c r="J17" s="91">
        <f>SUM('UT-E CAP'!W9,'UT-E CAP'!W10)</f>
        <v>4325000</v>
      </c>
      <c r="K17" s="91"/>
      <c r="L17" s="91">
        <v>1525000</v>
      </c>
      <c r="M17" s="91"/>
      <c r="N17" s="91">
        <v>3575000</v>
      </c>
      <c r="O17" s="91"/>
      <c r="P17" s="91">
        <v>7800000</v>
      </c>
      <c r="Q17" s="91"/>
      <c r="R17" s="91">
        <v>550000</v>
      </c>
      <c r="S17" s="72"/>
      <c r="T17" s="72"/>
      <c r="U17" s="72"/>
    </row>
    <row r="18" spans="1:21" x14ac:dyDescent="0.2">
      <c r="A18" s="73" t="s">
        <v>1366</v>
      </c>
      <c r="B18" s="92">
        <v>0</v>
      </c>
      <c r="C18" s="92"/>
      <c r="D18" s="92">
        <v>0</v>
      </c>
      <c r="E18" s="92"/>
      <c r="F18" s="92">
        <v>0</v>
      </c>
      <c r="G18" s="92"/>
      <c r="H18" s="92">
        <v>0</v>
      </c>
      <c r="I18" s="92"/>
      <c r="J18" s="92">
        <f>'UT-XFER TO'!W8</f>
        <v>1114490</v>
      </c>
      <c r="K18" s="92"/>
      <c r="L18" s="92">
        <v>600000</v>
      </c>
      <c r="M18" s="92"/>
      <c r="N18" s="92">
        <v>600000</v>
      </c>
      <c r="O18" s="92"/>
      <c r="P18" s="92">
        <v>600000</v>
      </c>
      <c r="Q18" s="92"/>
      <c r="R18" s="92">
        <v>600000</v>
      </c>
      <c r="S18" s="72"/>
      <c r="T18" s="72"/>
      <c r="U18" s="72"/>
    </row>
    <row r="19" spans="1:21" x14ac:dyDescent="0.2">
      <c r="A19" s="72"/>
      <c r="B19" s="96"/>
      <c r="C19" s="91"/>
      <c r="D19" s="96"/>
      <c r="E19" s="91"/>
      <c r="F19" s="96"/>
      <c r="G19" s="91"/>
      <c r="H19" s="96"/>
      <c r="I19" s="91"/>
      <c r="J19" s="96"/>
      <c r="K19" s="91"/>
      <c r="L19" s="96"/>
      <c r="M19" s="91"/>
      <c r="N19" s="96"/>
      <c r="O19" s="91"/>
      <c r="P19" s="96"/>
      <c r="Q19" s="91"/>
      <c r="R19" s="96"/>
      <c r="S19" s="72"/>
      <c r="T19" s="72"/>
      <c r="U19" s="72"/>
    </row>
    <row r="20" spans="1:21" x14ac:dyDescent="0.2">
      <c r="A20" s="74" t="s">
        <v>1118</v>
      </c>
      <c r="B20" s="93">
        <f>SUM(B13:B18)</f>
        <v>14643652.879999999</v>
      </c>
      <c r="C20" s="93"/>
      <c r="D20" s="93">
        <f>SUM(D13:D18)</f>
        <v>12238458.049999999</v>
      </c>
      <c r="E20" s="93"/>
      <c r="F20" s="93">
        <f>SUM(F13:F18)</f>
        <v>12902524.109999999</v>
      </c>
      <c r="G20" s="93"/>
      <c r="H20" s="93">
        <f>SUM(H13:H18)</f>
        <v>13084205.01</v>
      </c>
      <c r="I20" s="93"/>
      <c r="J20" s="93">
        <f>SUM(J13:J18)</f>
        <v>17955150</v>
      </c>
      <c r="K20" s="93"/>
      <c r="L20" s="93">
        <f>SUM(L13:L18)</f>
        <v>15167172.530000001</v>
      </c>
      <c r="M20" s="93"/>
      <c r="N20" s="93">
        <f>SUM(N13:N18)</f>
        <v>18404828.449999999</v>
      </c>
      <c r="O20" s="93"/>
      <c r="P20" s="93">
        <f>SUM(P13:P18)</f>
        <v>23410313.949999999</v>
      </c>
      <c r="Q20" s="93"/>
      <c r="R20" s="93">
        <f>SUM(R13:R18)</f>
        <v>16999217.300000001</v>
      </c>
      <c r="S20" s="72"/>
      <c r="T20" s="72"/>
      <c r="U20" s="72"/>
    </row>
    <row r="21" spans="1:21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pans="1:21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pans="1:21" ht="18.75" x14ac:dyDescent="0.3">
      <c r="A23" s="128" t="s">
        <v>1295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72"/>
      <c r="T23" s="72"/>
      <c r="U23" s="72"/>
    </row>
    <row r="24" spans="1:21" x14ac:dyDescent="0.2">
      <c r="A24" s="72"/>
      <c r="B24" s="71" t="s">
        <v>1274</v>
      </c>
      <c r="C24" s="71"/>
      <c r="D24" s="71" t="s">
        <v>1275</v>
      </c>
      <c r="E24" s="71"/>
      <c r="F24" s="71" t="s">
        <v>1276</v>
      </c>
      <c r="G24" s="71"/>
      <c r="H24" s="71" t="s">
        <v>1277</v>
      </c>
      <c r="I24" s="71"/>
      <c r="J24" s="71" t="s">
        <v>1278</v>
      </c>
      <c r="K24" s="71"/>
      <c r="L24" s="71" t="s">
        <v>1279</v>
      </c>
      <c r="M24" s="71"/>
      <c r="N24" s="71" t="s">
        <v>1280</v>
      </c>
      <c r="O24" s="71"/>
      <c r="P24" s="71" t="s">
        <v>1281</v>
      </c>
      <c r="Q24" s="71"/>
      <c r="R24" s="71" t="s">
        <v>1282</v>
      </c>
      <c r="S24" s="72"/>
      <c r="T24" s="72"/>
      <c r="U24" s="72"/>
    </row>
    <row r="25" spans="1:21" x14ac:dyDescent="0.2">
      <c r="A25" s="73" t="s">
        <v>1263</v>
      </c>
      <c r="B25" s="97">
        <v>9669828.0600000005</v>
      </c>
      <c r="C25" s="97"/>
      <c r="D25" s="97">
        <f>B31</f>
        <v>4938257.3900000006</v>
      </c>
      <c r="E25" s="97"/>
      <c r="F25" s="97">
        <f>D31</f>
        <v>4374760.3900000006</v>
      </c>
      <c r="G25" s="97"/>
      <c r="H25" s="97">
        <f>F31</f>
        <v>4413198.6900000013</v>
      </c>
      <c r="I25" s="97"/>
      <c r="J25" s="97">
        <f>H31</f>
        <v>3985440.5600000024</v>
      </c>
      <c r="K25" s="97"/>
      <c r="L25" s="97">
        <f>J31</f>
        <v>4499930.5600000024</v>
      </c>
      <c r="M25" s="97"/>
      <c r="N25" s="97">
        <f>L31</f>
        <v>460258.03000000119</v>
      </c>
      <c r="O25" s="97"/>
      <c r="P25" s="97">
        <f>N31</f>
        <v>-6114670.4199999981</v>
      </c>
      <c r="Q25" s="97"/>
      <c r="R25" s="97">
        <f>P31</f>
        <v>-16968484.369999997</v>
      </c>
      <c r="S25" s="72"/>
      <c r="T25" s="72"/>
      <c r="U25" s="72"/>
    </row>
    <row r="26" spans="1:21" x14ac:dyDescent="0.2">
      <c r="A26" s="72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72"/>
      <c r="T26" s="72"/>
      <c r="U26" s="72"/>
    </row>
    <row r="27" spans="1:21" x14ac:dyDescent="0.2">
      <c r="A27" s="73" t="s">
        <v>1249</v>
      </c>
      <c r="B27" s="92">
        <f t="shared" ref="B27:R27" si="0">SUM(B9,-B20)</f>
        <v>-4731570.67</v>
      </c>
      <c r="C27" s="92"/>
      <c r="D27" s="92">
        <f t="shared" si="0"/>
        <v>-563497</v>
      </c>
      <c r="E27" s="92"/>
      <c r="F27" s="92">
        <f t="shared" si="0"/>
        <v>38438.300000000745</v>
      </c>
      <c r="G27" s="92"/>
      <c r="H27" s="92">
        <f t="shared" si="0"/>
        <v>-427758.12999999896</v>
      </c>
      <c r="I27" s="92"/>
      <c r="J27" s="92">
        <f t="shared" si="0"/>
        <v>0</v>
      </c>
      <c r="K27" s="92"/>
      <c r="L27" s="92">
        <f t="shared" si="0"/>
        <v>0.4699999988079071</v>
      </c>
      <c r="M27" s="92"/>
      <c r="N27" s="92">
        <f t="shared" si="0"/>
        <v>-0.44999999925494194</v>
      </c>
      <c r="O27" s="92"/>
      <c r="P27" s="92">
        <f t="shared" si="0"/>
        <v>5.000000074505806E-2</v>
      </c>
      <c r="Q27" s="92"/>
      <c r="R27" s="92">
        <f t="shared" si="0"/>
        <v>-0.30000000074505806</v>
      </c>
      <c r="S27" s="72"/>
      <c r="T27" s="72"/>
      <c r="U27" s="72"/>
    </row>
    <row r="28" spans="1:21" x14ac:dyDescent="0.2">
      <c r="A28" s="72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72"/>
      <c r="T28" s="72"/>
      <c r="U28" s="72"/>
    </row>
    <row r="29" spans="1:21" x14ac:dyDescent="0.2">
      <c r="A29" s="73" t="s">
        <v>1448</v>
      </c>
      <c r="B29" s="92">
        <v>0</v>
      </c>
      <c r="C29" s="92"/>
      <c r="D29" s="92">
        <v>0</v>
      </c>
      <c r="E29" s="92"/>
      <c r="F29" s="92">
        <v>0</v>
      </c>
      <c r="G29" s="92"/>
      <c r="H29" s="92">
        <v>0</v>
      </c>
      <c r="I29" s="92"/>
      <c r="J29" s="92">
        <f>'UT-SUMM'!W37</f>
        <v>514490</v>
      </c>
      <c r="K29" s="92"/>
      <c r="L29" s="92">
        <v>-4039673</v>
      </c>
      <c r="M29" s="92"/>
      <c r="N29" s="92">
        <v>-6574928</v>
      </c>
      <c r="O29" s="92"/>
      <c r="P29" s="92">
        <v>-10853814</v>
      </c>
      <c r="Q29" s="92"/>
      <c r="R29" s="92">
        <v>-3607717</v>
      </c>
      <c r="S29" s="72"/>
      <c r="T29" s="72"/>
      <c r="U29" s="72"/>
    </row>
    <row r="30" spans="1:21" x14ac:dyDescent="0.2">
      <c r="A30" s="7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72"/>
      <c r="T30" s="72"/>
      <c r="U30" s="72"/>
    </row>
    <row r="31" spans="1:21" x14ac:dyDescent="0.2">
      <c r="A31" s="98" t="s">
        <v>1250</v>
      </c>
      <c r="B31" s="99">
        <f>SUM(B25,B27,B29)</f>
        <v>4938257.3900000006</v>
      </c>
      <c r="C31" s="99"/>
      <c r="D31" s="99">
        <f>SUM(D25,D27,D29)</f>
        <v>4374760.3900000006</v>
      </c>
      <c r="E31" s="99"/>
      <c r="F31" s="99">
        <f>SUM(F25,F27,F29)</f>
        <v>4413198.6900000013</v>
      </c>
      <c r="G31" s="99"/>
      <c r="H31" s="99">
        <f>SUM(H25,H27,H29)</f>
        <v>3985440.5600000024</v>
      </c>
      <c r="I31" s="99"/>
      <c r="J31" s="99">
        <f>SUM(J25,J27,J29)</f>
        <v>4499930.5600000024</v>
      </c>
      <c r="K31" s="99"/>
      <c r="L31" s="99">
        <f>SUM(L25,L27,L29)</f>
        <v>460258.03000000119</v>
      </c>
      <c r="M31" s="99"/>
      <c r="N31" s="99">
        <f>SUM(N25,N27,N29)</f>
        <v>-6114670.4199999981</v>
      </c>
      <c r="O31" s="99"/>
      <c r="P31" s="99">
        <f>SUM(P25,P27,P29)</f>
        <v>-16968484.369999997</v>
      </c>
      <c r="Q31" s="99"/>
      <c r="R31" s="99">
        <f>SUM(R25,R27,R29)</f>
        <v>-20576201.669999998</v>
      </c>
      <c r="S31" s="72"/>
      <c r="T31" s="72"/>
      <c r="U31" s="72"/>
    </row>
    <row r="32" spans="1:21" x14ac:dyDescent="0.2">
      <c r="A32" s="72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72"/>
      <c r="T32" s="72"/>
      <c r="U32" s="72"/>
    </row>
    <row r="33" spans="1:21" x14ac:dyDescent="0.2">
      <c r="A33" s="72" t="s">
        <v>1290</v>
      </c>
      <c r="B33" s="91">
        <f t="shared" ref="B33:R33" si="1">PRODUCT(SUM(B13,B14),0.25)</f>
        <v>1979544.5950000002</v>
      </c>
      <c r="C33" s="91"/>
      <c r="D33" s="91">
        <f t="shared" si="1"/>
        <v>2150693.395</v>
      </c>
      <c r="E33" s="91"/>
      <c r="F33" s="91">
        <f t="shared" si="1"/>
        <v>2573649.2649999997</v>
      </c>
      <c r="G33" s="91"/>
      <c r="H33" s="91">
        <f t="shared" si="1"/>
        <v>2402804.1724999999</v>
      </c>
      <c r="I33" s="91"/>
      <c r="J33" s="91">
        <f t="shared" si="1"/>
        <v>2422015</v>
      </c>
      <c r="K33" s="91"/>
      <c r="L33" s="91">
        <f t="shared" si="1"/>
        <v>2644717.9925000002</v>
      </c>
      <c r="M33" s="91"/>
      <c r="N33" s="91">
        <f t="shared" si="1"/>
        <v>2970747.5449999999</v>
      </c>
      <c r="O33" s="91"/>
      <c r="P33" s="91">
        <f t="shared" si="1"/>
        <v>3139011.8849999998</v>
      </c>
      <c r="Q33" s="91"/>
      <c r="R33" s="91">
        <f t="shared" si="1"/>
        <v>3364814.1325000003</v>
      </c>
      <c r="S33" s="72"/>
      <c r="T33" s="72"/>
      <c r="U33" s="72"/>
    </row>
    <row r="34" spans="1:21" x14ac:dyDescent="0.2">
      <c r="A34" s="72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2"/>
      <c r="T34" s="72"/>
      <c r="U34" s="72"/>
    </row>
    <row r="35" spans="1:21" x14ac:dyDescent="0.2">
      <c r="A35" s="72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2"/>
      <c r="T35" s="72"/>
      <c r="U35" s="72"/>
    </row>
    <row r="36" spans="1:21" x14ac:dyDescent="0.2">
      <c r="A36" s="74" t="s">
        <v>1291</v>
      </c>
      <c r="B36" s="89">
        <v>0.15</v>
      </c>
      <c r="C36" s="89"/>
      <c r="D36" s="89">
        <v>0.09</v>
      </c>
      <c r="E36" s="89"/>
      <c r="F36" s="89">
        <v>0</v>
      </c>
      <c r="G36" s="89"/>
      <c r="H36" s="89">
        <v>0</v>
      </c>
      <c r="I36" s="89"/>
      <c r="J36" s="89">
        <v>0.02</v>
      </c>
      <c r="K36" s="89"/>
      <c r="L36" s="89">
        <v>0.03</v>
      </c>
      <c r="M36" s="89"/>
      <c r="N36" s="89">
        <v>0.02</v>
      </c>
      <c r="O36" s="89"/>
      <c r="P36" s="89">
        <v>0.02</v>
      </c>
      <c r="Q36" s="89"/>
      <c r="R36" s="89">
        <v>0.02</v>
      </c>
      <c r="S36" s="72"/>
      <c r="T36" s="72"/>
      <c r="U36" s="72"/>
    </row>
    <row r="37" spans="1:21" x14ac:dyDescent="0.2">
      <c r="A37" s="74"/>
      <c r="B37" s="74"/>
      <c r="C37" s="74"/>
      <c r="D37" s="72"/>
      <c r="E37" s="72"/>
      <c r="F37" s="72"/>
      <c r="G37" s="72"/>
      <c r="H37" s="72"/>
      <c r="I37" s="72"/>
      <c r="J37" s="74"/>
      <c r="K37" s="74"/>
      <c r="L37" s="74"/>
      <c r="M37" s="74"/>
      <c r="N37" s="74"/>
      <c r="O37" s="74"/>
      <c r="P37" s="74"/>
      <c r="Q37" s="74"/>
      <c r="R37" s="74"/>
      <c r="S37" s="72"/>
      <c r="T37" s="72"/>
      <c r="U37" s="72"/>
    </row>
    <row r="38" spans="1:21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</row>
    <row r="41" spans="1:21" x14ac:dyDescent="0.2">
      <c r="A41" s="72"/>
      <c r="B41" s="72"/>
      <c r="C41" s="72"/>
      <c r="D41" s="90"/>
      <c r="E41" s="90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 spans="1:21" x14ac:dyDescent="0.2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 spans="1:21" x14ac:dyDescent="0.2">
      <c r="A43" s="72"/>
      <c r="B43" s="72"/>
      <c r="C43" s="72"/>
      <c r="D43" s="90"/>
      <c r="E43" s="90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  <row r="44" spans="1:21" x14ac:dyDescent="0.2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</row>
    <row r="45" spans="1:21" x14ac:dyDescent="0.2">
      <c r="A45" s="72"/>
      <c r="B45" s="72"/>
      <c r="C45" s="72"/>
      <c r="D45" s="90"/>
      <c r="E45" s="90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</row>
  </sheetData>
  <mergeCells count="3">
    <mergeCell ref="A1:R1"/>
    <mergeCell ref="A11:R11"/>
    <mergeCell ref="A23:R23"/>
  </mergeCells>
  <pageMargins left="0.25" right="0.25" top="0.75" bottom="0.75" header="0.3" footer="0.3"/>
  <pageSetup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B133-6D67-4867-848C-68BABD2EFE77}">
  <sheetPr>
    <tabColor rgb="FF92D050"/>
  </sheetPr>
  <dimension ref="A1:AJ13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29" sqref="U29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12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1328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9" t="s">
        <v>868</v>
      </c>
      <c r="B6" s="60" t="s">
        <v>570</v>
      </c>
      <c r="C6" s="79">
        <v>0</v>
      </c>
      <c r="D6" s="80"/>
      <c r="E6" s="79">
        <v>7557.5</v>
      </c>
      <c r="F6" s="80"/>
      <c r="G6" s="79">
        <v>0</v>
      </c>
      <c r="H6" s="79"/>
      <c r="I6" s="79">
        <v>2000</v>
      </c>
      <c r="J6" s="79"/>
      <c r="K6" s="79">
        <v>2000</v>
      </c>
      <c r="L6" s="79"/>
      <c r="M6" s="79">
        <v>0</v>
      </c>
      <c r="N6" s="79"/>
      <c r="O6" s="79">
        <f t="shared" ref="O6:O14" si="0">PRODUCT(M6,0/12)</f>
        <v>0</v>
      </c>
      <c r="P6" s="79"/>
      <c r="Q6" s="79">
        <f t="shared" ref="Q6:Q18" si="1">SUM(M6,O6)</f>
        <v>0</v>
      </c>
      <c r="R6" s="79"/>
      <c r="S6" s="79">
        <v>0</v>
      </c>
      <c r="T6" s="79"/>
      <c r="U6" s="79">
        <v>0</v>
      </c>
      <c r="V6" s="79"/>
      <c r="W6" s="79">
        <v>0</v>
      </c>
      <c r="X6" s="79"/>
      <c r="Y6" s="79">
        <f t="shared" ref="Y6:Y18" si="2">SUM(W6,-I6)</f>
        <v>-2000</v>
      </c>
      <c r="Z6" s="62"/>
      <c r="AA6" s="63" t="str">
        <f>IF(W6=0,"N/A",PRODUCT(Y6,1/I6))</f>
        <v>N/A</v>
      </c>
      <c r="AB6" s="62"/>
      <c r="AC6" s="79">
        <f>SUM(W6,-Q6)</f>
        <v>0</v>
      </c>
      <c r="AD6" s="62"/>
      <c r="AE6" s="63" t="str">
        <f>IF(W6=0,"N/A",PRODUCT(AC6,1/Q6))</f>
        <v>N/A</v>
      </c>
      <c r="AF6" s="57"/>
      <c r="AG6" s="57"/>
      <c r="AH6" s="57"/>
      <c r="AI6" s="57"/>
      <c r="AJ6" s="57"/>
    </row>
    <row r="7" spans="1:36" x14ac:dyDescent="0.2">
      <c r="A7" s="55" t="s">
        <v>869</v>
      </c>
      <c r="B7" s="56" t="s">
        <v>252</v>
      </c>
      <c r="C7" s="77">
        <v>7595.56</v>
      </c>
      <c r="E7" s="77">
        <v>6450</v>
      </c>
      <c r="G7" s="77">
        <v>15965.31</v>
      </c>
      <c r="I7" s="77">
        <v>5000</v>
      </c>
      <c r="K7" s="77">
        <v>5000</v>
      </c>
      <c r="M7" s="77">
        <v>19946.990000000002</v>
      </c>
      <c r="O7" s="77">
        <f t="shared" si="0"/>
        <v>0</v>
      </c>
      <c r="Q7" s="77">
        <f t="shared" si="1"/>
        <v>19946.990000000002</v>
      </c>
      <c r="S7" s="77">
        <v>7500</v>
      </c>
      <c r="U7" s="77">
        <v>7500</v>
      </c>
      <c r="W7" s="77">
        <v>7500</v>
      </c>
      <c r="Y7" s="77">
        <f t="shared" si="2"/>
        <v>2500</v>
      </c>
      <c r="Z7" s="57"/>
      <c r="AA7" s="58">
        <f t="shared" ref="AA7:AA19" si="3">IF(W7=0,"N/A",PRODUCT(Y7,1/I7))</f>
        <v>0.5</v>
      </c>
      <c r="AB7" s="57"/>
      <c r="AC7" s="77">
        <f t="shared" ref="AC7:AC18" si="4">SUM(W7,-Q7)</f>
        <v>-12446.990000000002</v>
      </c>
      <c r="AD7" s="57"/>
      <c r="AE7" s="58">
        <f t="shared" ref="AE7:AE19" si="5">IF(W7=0,"N/A",PRODUCT(AC7,1/Q7))</f>
        <v>-0.62400342106753959</v>
      </c>
      <c r="AF7" s="57"/>
      <c r="AG7" s="57"/>
      <c r="AH7" s="57"/>
      <c r="AI7" s="57"/>
      <c r="AJ7" s="57"/>
    </row>
    <row r="8" spans="1:36" x14ac:dyDescent="0.2">
      <c r="A8" s="59" t="s">
        <v>867</v>
      </c>
      <c r="B8" s="60" t="s">
        <v>256</v>
      </c>
      <c r="C8" s="79">
        <v>46395.1</v>
      </c>
      <c r="D8" s="80"/>
      <c r="E8" s="79">
        <v>1957.92</v>
      </c>
      <c r="F8" s="80"/>
      <c r="G8" s="79">
        <v>10760.74</v>
      </c>
      <c r="H8" s="79"/>
      <c r="I8" s="79">
        <v>1000</v>
      </c>
      <c r="J8" s="79"/>
      <c r="K8" s="79">
        <v>1000</v>
      </c>
      <c r="L8" s="79"/>
      <c r="M8" s="79">
        <v>2996.19</v>
      </c>
      <c r="N8" s="79"/>
      <c r="O8" s="79">
        <f t="shared" si="0"/>
        <v>0</v>
      </c>
      <c r="P8" s="79"/>
      <c r="Q8" s="79">
        <f t="shared" si="1"/>
        <v>2996.19</v>
      </c>
      <c r="R8" s="79"/>
      <c r="S8" s="79">
        <v>5000</v>
      </c>
      <c r="T8" s="79"/>
      <c r="U8" s="79">
        <v>5000</v>
      </c>
      <c r="V8" s="79"/>
      <c r="W8" s="79">
        <v>5000</v>
      </c>
      <c r="X8" s="79"/>
      <c r="Y8" s="79">
        <f t="shared" si="2"/>
        <v>4000</v>
      </c>
      <c r="Z8" s="62"/>
      <c r="AA8" s="63">
        <f t="shared" si="3"/>
        <v>4</v>
      </c>
      <c r="AB8" s="62"/>
      <c r="AC8" s="79">
        <f t="shared" si="4"/>
        <v>2003.81</v>
      </c>
      <c r="AD8" s="62"/>
      <c r="AE8" s="63">
        <f t="shared" si="5"/>
        <v>0.66878602491831296</v>
      </c>
      <c r="AF8" s="57"/>
      <c r="AG8" s="57"/>
      <c r="AH8" s="57"/>
      <c r="AI8" s="57"/>
      <c r="AJ8" s="57"/>
    </row>
    <row r="9" spans="1:36" x14ac:dyDescent="0.2">
      <c r="A9" s="55" t="s">
        <v>870</v>
      </c>
      <c r="B9" s="56" t="s">
        <v>489</v>
      </c>
      <c r="C9" s="77">
        <v>14000</v>
      </c>
      <c r="E9" s="77">
        <v>0</v>
      </c>
      <c r="G9" s="77">
        <v>0</v>
      </c>
      <c r="I9" s="77">
        <v>0</v>
      </c>
      <c r="K9" s="77">
        <v>0</v>
      </c>
      <c r="M9" s="77">
        <v>0</v>
      </c>
      <c r="O9" s="77">
        <f t="shared" si="0"/>
        <v>0</v>
      </c>
      <c r="Q9" s="77">
        <f t="shared" si="1"/>
        <v>0</v>
      </c>
      <c r="S9" s="77">
        <v>350000</v>
      </c>
      <c r="U9" s="77">
        <v>350000</v>
      </c>
      <c r="W9" s="77">
        <v>262500</v>
      </c>
      <c r="Y9" s="77">
        <f t="shared" si="2"/>
        <v>262500</v>
      </c>
      <c r="Z9" s="57"/>
      <c r="AA9" s="58" t="e">
        <f t="shared" si="3"/>
        <v>#DIV/0!</v>
      </c>
      <c r="AB9" s="57"/>
      <c r="AC9" s="77">
        <f t="shared" si="4"/>
        <v>262500</v>
      </c>
      <c r="AD9" s="57"/>
      <c r="AE9" s="58" t="e">
        <f t="shared" si="5"/>
        <v>#DIV/0!</v>
      </c>
      <c r="AF9" s="57"/>
      <c r="AG9" s="57"/>
      <c r="AH9" s="57"/>
      <c r="AI9" s="57"/>
      <c r="AJ9" s="57"/>
    </row>
    <row r="10" spans="1:36" x14ac:dyDescent="0.2">
      <c r="A10" s="59" t="s">
        <v>871</v>
      </c>
      <c r="B10" s="60" t="s">
        <v>414</v>
      </c>
      <c r="C10" s="79">
        <v>0</v>
      </c>
      <c r="D10" s="80"/>
      <c r="E10" s="79">
        <v>39014</v>
      </c>
      <c r="F10" s="80"/>
      <c r="G10" s="79">
        <v>6212</v>
      </c>
      <c r="H10" s="79"/>
      <c r="I10" s="79">
        <v>12000</v>
      </c>
      <c r="J10" s="79"/>
      <c r="K10" s="79">
        <v>12000</v>
      </c>
      <c r="L10" s="79"/>
      <c r="M10" s="79">
        <v>28104</v>
      </c>
      <c r="N10" s="79"/>
      <c r="O10" s="79">
        <f t="shared" si="0"/>
        <v>0</v>
      </c>
      <c r="P10" s="79"/>
      <c r="Q10" s="79">
        <f t="shared" si="1"/>
        <v>28104</v>
      </c>
      <c r="R10" s="79"/>
      <c r="S10" s="79">
        <v>12000</v>
      </c>
      <c r="T10" s="79"/>
      <c r="U10" s="79">
        <v>43000</v>
      </c>
      <c r="V10" s="79"/>
      <c r="W10" s="79">
        <v>43000</v>
      </c>
      <c r="X10" s="79"/>
      <c r="Y10" s="79">
        <f t="shared" si="2"/>
        <v>31000</v>
      </c>
      <c r="Z10" s="62"/>
      <c r="AA10" s="63">
        <f t="shared" si="3"/>
        <v>2.583333333333333</v>
      </c>
      <c r="AB10" s="62"/>
      <c r="AC10" s="79">
        <f t="shared" si="4"/>
        <v>14896</v>
      </c>
      <c r="AD10" s="62"/>
      <c r="AE10" s="63">
        <f t="shared" si="5"/>
        <v>0.53003131226871625</v>
      </c>
      <c r="AF10" s="57"/>
      <c r="AG10" s="57" t="s">
        <v>996</v>
      </c>
      <c r="AH10" s="57"/>
      <c r="AI10" s="57"/>
      <c r="AJ10" s="57"/>
    </row>
    <row r="11" spans="1:36" x14ac:dyDescent="0.2">
      <c r="A11" s="55" t="s">
        <v>872</v>
      </c>
      <c r="B11" s="56" t="s">
        <v>259</v>
      </c>
      <c r="C11" s="77">
        <v>18000</v>
      </c>
      <c r="E11" s="77">
        <v>0</v>
      </c>
      <c r="G11" s="77">
        <v>0</v>
      </c>
      <c r="I11" s="77">
        <v>0</v>
      </c>
      <c r="K11" s="77">
        <v>0</v>
      </c>
      <c r="M11" s="77">
        <v>0</v>
      </c>
      <c r="O11" s="77">
        <f t="shared" si="0"/>
        <v>0</v>
      </c>
      <c r="Q11" s="77">
        <f t="shared" si="1"/>
        <v>0</v>
      </c>
      <c r="S11" s="77">
        <v>0</v>
      </c>
      <c r="U11" s="77">
        <v>0</v>
      </c>
      <c r="W11" s="77">
        <v>0</v>
      </c>
      <c r="Y11" s="77">
        <f t="shared" si="2"/>
        <v>0</v>
      </c>
      <c r="Z11" s="57"/>
      <c r="AA11" s="58" t="str">
        <f t="shared" si="3"/>
        <v>N/A</v>
      </c>
      <c r="AB11" s="57"/>
      <c r="AC11" s="77">
        <f t="shared" si="4"/>
        <v>0</v>
      </c>
      <c r="AD11" s="57"/>
      <c r="AE11" s="58" t="str">
        <f t="shared" si="5"/>
        <v>N/A</v>
      </c>
      <c r="AF11" s="57"/>
      <c r="AG11" s="57"/>
      <c r="AH11" s="57"/>
      <c r="AI11" s="57"/>
      <c r="AJ11" s="57"/>
    </row>
    <row r="12" spans="1:36" x14ac:dyDescent="0.2">
      <c r="A12" s="59" t="s">
        <v>874</v>
      </c>
      <c r="B12" s="60" t="s">
        <v>873</v>
      </c>
      <c r="C12" s="79">
        <v>0</v>
      </c>
      <c r="D12" s="80"/>
      <c r="E12" s="79">
        <v>310639.73</v>
      </c>
      <c r="F12" s="80"/>
      <c r="G12" s="79">
        <v>0</v>
      </c>
      <c r="H12" s="79"/>
      <c r="I12" s="79">
        <v>0</v>
      </c>
      <c r="J12" s="79"/>
      <c r="K12" s="79">
        <v>0</v>
      </c>
      <c r="L12" s="79"/>
      <c r="M12" s="79">
        <v>0</v>
      </c>
      <c r="N12" s="79"/>
      <c r="O12" s="79">
        <f t="shared" si="0"/>
        <v>0</v>
      </c>
      <c r="P12" s="79"/>
      <c r="Q12" s="79">
        <f t="shared" si="1"/>
        <v>0</v>
      </c>
      <c r="R12" s="79"/>
      <c r="S12" s="79">
        <v>0</v>
      </c>
      <c r="T12" s="79"/>
      <c r="U12" s="79">
        <v>0</v>
      </c>
      <c r="V12" s="79"/>
      <c r="W12" s="79">
        <v>0</v>
      </c>
      <c r="X12" s="79"/>
      <c r="Y12" s="79">
        <f t="shared" si="2"/>
        <v>0</v>
      </c>
      <c r="Z12" s="62"/>
      <c r="AA12" s="63" t="str">
        <f t="shared" si="3"/>
        <v>N/A</v>
      </c>
      <c r="AB12" s="62"/>
      <c r="AC12" s="79">
        <f t="shared" si="4"/>
        <v>0</v>
      </c>
      <c r="AD12" s="62"/>
      <c r="AE12" s="63" t="str">
        <f t="shared" si="5"/>
        <v>N/A</v>
      </c>
      <c r="AF12" s="57"/>
      <c r="AG12" s="57"/>
      <c r="AH12" s="57"/>
      <c r="AI12" s="57"/>
      <c r="AJ12" s="57"/>
    </row>
    <row r="13" spans="1:36" x14ac:dyDescent="0.2">
      <c r="A13" s="55" t="s">
        <v>875</v>
      </c>
      <c r="B13" s="56" t="s">
        <v>275</v>
      </c>
      <c r="C13" s="77">
        <v>0</v>
      </c>
      <c r="E13" s="77">
        <v>498545.33</v>
      </c>
      <c r="G13" s="77">
        <v>0</v>
      </c>
      <c r="I13" s="77">
        <v>0</v>
      </c>
      <c r="K13" s="77">
        <v>0</v>
      </c>
      <c r="M13" s="77">
        <v>0</v>
      </c>
      <c r="O13" s="77">
        <f t="shared" si="0"/>
        <v>0</v>
      </c>
      <c r="Q13" s="77">
        <f t="shared" si="1"/>
        <v>0</v>
      </c>
      <c r="S13" s="77">
        <v>0</v>
      </c>
      <c r="U13" s="77">
        <v>0</v>
      </c>
      <c r="W13" s="77">
        <v>0</v>
      </c>
      <c r="Y13" s="77">
        <f t="shared" si="2"/>
        <v>0</v>
      </c>
      <c r="Z13" s="57"/>
      <c r="AA13" s="58" t="str">
        <f t="shared" si="3"/>
        <v>N/A</v>
      </c>
      <c r="AB13" s="57"/>
      <c r="AC13" s="77">
        <f t="shared" si="4"/>
        <v>0</v>
      </c>
      <c r="AD13" s="57"/>
      <c r="AE13" s="58" t="str">
        <f t="shared" si="5"/>
        <v>N/A</v>
      </c>
      <c r="AF13" s="57"/>
      <c r="AG13" s="57"/>
      <c r="AH13" s="57"/>
      <c r="AI13" s="57"/>
      <c r="AJ13" s="57"/>
    </row>
    <row r="14" spans="1:36" x14ac:dyDescent="0.2">
      <c r="A14" s="59" t="s">
        <v>876</v>
      </c>
      <c r="B14" s="60" t="s">
        <v>277</v>
      </c>
      <c r="C14" s="79">
        <v>0</v>
      </c>
      <c r="D14" s="80"/>
      <c r="E14" s="79">
        <v>55649.42</v>
      </c>
      <c r="F14" s="80"/>
      <c r="G14" s="79">
        <v>11841.04</v>
      </c>
      <c r="H14" s="79"/>
      <c r="I14" s="79">
        <v>0</v>
      </c>
      <c r="J14" s="79"/>
      <c r="K14" s="79">
        <v>0</v>
      </c>
      <c r="L14" s="79"/>
      <c r="M14" s="79">
        <v>0</v>
      </c>
      <c r="N14" s="79"/>
      <c r="O14" s="79">
        <f t="shared" si="0"/>
        <v>0</v>
      </c>
      <c r="P14" s="79"/>
      <c r="Q14" s="79">
        <f t="shared" si="1"/>
        <v>0</v>
      </c>
      <c r="R14" s="79"/>
      <c r="S14" s="79">
        <v>0</v>
      </c>
      <c r="T14" s="79"/>
      <c r="U14" s="79">
        <v>0</v>
      </c>
      <c r="V14" s="79"/>
      <c r="W14" s="79">
        <v>0</v>
      </c>
      <c r="X14" s="79"/>
      <c r="Y14" s="79">
        <f t="shared" si="2"/>
        <v>0</v>
      </c>
      <c r="Z14" s="62"/>
      <c r="AA14" s="63" t="str">
        <f t="shared" si="3"/>
        <v>N/A</v>
      </c>
      <c r="AB14" s="62"/>
      <c r="AC14" s="79">
        <f t="shared" si="4"/>
        <v>0</v>
      </c>
      <c r="AD14" s="62"/>
      <c r="AE14" s="63" t="str">
        <f t="shared" si="5"/>
        <v>N/A</v>
      </c>
      <c r="AF14" s="57"/>
      <c r="AG14" s="57"/>
      <c r="AH14" s="57"/>
      <c r="AI14" s="57"/>
      <c r="AJ14" s="57"/>
    </row>
    <row r="15" spans="1:36" x14ac:dyDescent="0.2">
      <c r="A15" s="55" t="s">
        <v>877</v>
      </c>
      <c r="B15" s="56" t="s">
        <v>519</v>
      </c>
      <c r="C15" s="77">
        <v>0</v>
      </c>
      <c r="E15" s="77">
        <v>0</v>
      </c>
      <c r="G15" s="77">
        <v>0</v>
      </c>
      <c r="I15" s="77">
        <v>500000</v>
      </c>
      <c r="K15" s="77">
        <v>500000</v>
      </c>
      <c r="M15" s="77">
        <v>0</v>
      </c>
      <c r="O15" s="77">
        <v>0</v>
      </c>
      <c r="Q15" s="77">
        <f t="shared" si="1"/>
        <v>0</v>
      </c>
      <c r="S15" s="77">
        <v>500000</v>
      </c>
      <c r="U15" s="77">
        <v>500000</v>
      </c>
      <c r="W15" s="77">
        <v>600000</v>
      </c>
      <c r="Y15" s="77">
        <f t="shared" si="2"/>
        <v>100000</v>
      </c>
      <c r="Z15" s="57"/>
      <c r="AA15" s="58">
        <f t="shared" si="3"/>
        <v>0.19999999999999998</v>
      </c>
      <c r="AB15" s="57"/>
      <c r="AC15" s="77">
        <f t="shared" si="4"/>
        <v>600000</v>
      </c>
      <c r="AD15" s="57"/>
      <c r="AE15" s="58" t="e">
        <f t="shared" si="5"/>
        <v>#DIV/0!</v>
      </c>
      <c r="AF15" s="57"/>
      <c r="AG15" s="57" t="s">
        <v>1107</v>
      </c>
      <c r="AH15" s="57"/>
      <c r="AI15" s="57"/>
      <c r="AJ15" s="57"/>
    </row>
    <row r="16" spans="1:36" x14ac:dyDescent="0.2">
      <c r="A16" s="59" t="s">
        <v>878</v>
      </c>
      <c r="B16" s="60" t="s">
        <v>510</v>
      </c>
      <c r="C16" s="79">
        <v>0</v>
      </c>
      <c r="D16" s="80"/>
      <c r="E16" s="79">
        <v>0</v>
      </c>
      <c r="F16" s="80"/>
      <c r="G16" s="79">
        <v>0</v>
      </c>
      <c r="H16" s="79"/>
      <c r="I16" s="79">
        <v>50000</v>
      </c>
      <c r="J16" s="79"/>
      <c r="K16" s="79">
        <v>50000</v>
      </c>
      <c r="L16" s="79"/>
      <c r="M16" s="79">
        <v>216083.94</v>
      </c>
      <c r="N16" s="79"/>
      <c r="O16" s="79">
        <f>PRODUCT(M16,0/12)</f>
        <v>0</v>
      </c>
      <c r="P16" s="79"/>
      <c r="Q16" s="79">
        <f t="shared" si="1"/>
        <v>216083.94</v>
      </c>
      <c r="R16" s="79"/>
      <c r="S16" s="79">
        <v>0</v>
      </c>
      <c r="T16" s="79"/>
      <c r="U16" s="79">
        <v>0</v>
      </c>
      <c r="V16" s="79"/>
      <c r="W16" s="79">
        <v>0</v>
      </c>
      <c r="X16" s="79"/>
      <c r="Y16" s="79">
        <f t="shared" si="2"/>
        <v>-50000</v>
      </c>
      <c r="Z16" s="62"/>
      <c r="AA16" s="63" t="str">
        <f t="shared" si="3"/>
        <v>N/A</v>
      </c>
      <c r="AB16" s="62"/>
      <c r="AC16" s="79">
        <f t="shared" si="4"/>
        <v>-216083.94</v>
      </c>
      <c r="AD16" s="62"/>
      <c r="AE16" s="63" t="str">
        <f t="shared" si="5"/>
        <v>N/A</v>
      </c>
      <c r="AF16" s="57"/>
      <c r="AG16" s="57"/>
      <c r="AH16" s="57"/>
      <c r="AI16" s="57"/>
      <c r="AJ16" s="57"/>
    </row>
    <row r="17" spans="1:36" x14ac:dyDescent="0.2">
      <c r="A17" s="55" t="s">
        <v>879</v>
      </c>
      <c r="B17" s="56" t="s">
        <v>511</v>
      </c>
      <c r="C17" s="77">
        <v>181045.58</v>
      </c>
      <c r="E17" s="77">
        <v>146712.42000000001</v>
      </c>
      <c r="G17" s="77">
        <v>158544.98000000001</v>
      </c>
      <c r="I17" s="77">
        <v>235000</v>
      </c>
      <c r="K17" s="77">
        <v>235000</v>
      </c>
      <c r="M17" s="77">
        <v>287755.19</v>
      </c>
      <c r="O17" s="77">
        <f>PRODUCT(M17,0/12)</f>
        <v>0</v>
      </c>
      <c r="Q17" s="77">
        <f t="shared" si="1"/>
        <v>287755.19</v>
      </c>
      <c r="S17" s="77">
        <v>0</v>
      </c>
      <c r="U17" s="77">
        <v>0</v>
      </c>
      <c r="W17" s="77">
        <v>0</v>
      </c>
      <c r="Y17" s="77">
        <f t="shared" si="2"/>
        <v>-235000</v>
      </c>
      <c r="Z17" s="57"/>
      <c r="AA17" s="58" t="str">
        <f t="shared" si="3"/>
        <v>N/A</v>
      </c>
      <c r="AB17" s="57"/>
      <c r="AC17" s="77">
        <f t="shared" si="4"/>
        <v>-287755.19</v>
      </c>
      <c r="AD17" s="57"/>
      <c r="AE17" s="58" t="str">
        <f t="shared" si="5"/>
        <v>N/A</v>
      </c>
      <c r="AF17" s="57"/>
      <c r="AG17" s="57"/>
      <c r="AH17" s="57"/>
      <c r="AI17" s="57"/>
      <c r="AJ17" s="57"/>
    </row>
    <row r="18" spans="1:36" x14ac:dyDescent="0.2">
      <c r="A18" s="59" t="s">
        <v>880</v>
      </c>
      <c r="B18" s="60" t="s">
        <v>490</v>
      </c>
      <c r="C18" s="79">
        <v>7538.72</v>
      </c>
      <c r="D18" s="80"/>
      <c r="E18" s="79">
        <v>0</v>
      </c>
      <c r="F18" s="80"/>
      <c r="G18" s="79">
        <v>0</v>
      </c>
      <c r="H18" s="79"/>
      <c r="I18" s="79">
        <v>0</v>
      </c>
      <c r="J18" s="79"/>
      <c r="K18" s="79">
        <v>0</v>
      </c>
      <c r="L18" s="79"/>
      <c r="M18" s="79">
        <v>0</v>
      </c>
      <c r="N18" s="79"/>
      <c r="O18" s="79">
        <f>PRODUCT(M18,0/12)</f>
        <v>0</v>
      </c>
      <c r="P18" s="79"/>
      <c r="Q18" s="79">
        <f t="shared" si="1"/>
        <v>0</v>
      </c>
      <c r="R18" s="79"/>
      <c r="S18" s="79">
        <v>0</v>
      </c>
      <c r="T18" s="79"/>
      <c r="U18" s="79">
        <v>0</v>
      </c>
      <c r="V18" s="79"/>
      <c r="W18" s="79">
        <v>0</v>
      </c>
      <c r="X18" s="79"/>
      <c r="Y18" s="79">
        <f t="shared" si="2"/>
        <v>0</v>
      </c>
      <c r="Z18" s="62"/>
      <c r="AA18" s="63" t="str">
        <f t="shared" si="3"/>
        <v>N/A</v>
      </c>
      <c r="AB18" s="62"/>
      <c r="AC18" s="79">
        <f t="shared" si="4"/>
        <v>0</v>
      </c>
      <c r="AD18" s="62"/>
      <c r="AE18" s="63" t="str">
        <f t="shared" si="5"/>
        <v>N/A</v>
      </c>
      <c r="AF18" s="57"/>
      <c r="AG18" s="57"/>
      <c r="AH18" s="57"/>
      <c r="AI18" s="57"/>
      <c r="AJ18" s="57"/>
    </row>
    <row r="19" spans="1:36" x14ac:dyDescent="0.2">
      <c r="A19" s="64" t="s">
        <v>1329</v>
      </c>
      <c r="C19" s="81">
        <f>SUM(C6:C18)</f>
        <v>274574.95999999996</v>
      </c>
      <c r="E19" s="81">
        <f>SUM(E6:E18)</f>
        <v>1066526.32</v>
      </c>
      <c r="G19" s="81">
        <f>SUM(G6:G18)</f>
        <v>203324.07</v>
      </c>
      <c r="I19" s="81">
        <f>SUM(I6:I18)</f>
        <v>805000</v>
      </c>
      <c r="K19" s="81">
        <f>SUM(K6:K18)</f>
        <v>805000</v>
      </c>
      <c r="M19" s="81">
        <f>SUM(M6:M18)</f>
        <v>554886.31000000006</v>
      </c>
      <c r="O19" s="81">
        <f>SUM(O6:O18)</f>
        <v>0</v>
      </c>
      <c r="Q19" s="81">
        <f>SUM(Q6:Q18)</f>
        <v>554886.31000000006</v>
      </c>
      <c r="S19" s="81">
        <f>SUM(S6:S18)</f>
        <v>874500</v>
      </c>
      <c r="U19" s="81">
        <f>SUM(U6:U18)</f>
        <v>905500</v>
      </c>
      <c r="W19" s="81">
        <f>SUM(W6:W18)</f>
        <v>918000</v>
      </c>
      <c r="Y19" s="81">
        <f>SUM(Y6:Y18)</f>
        <v>113000</v>
      </c>
      <c r="Z19" s="57"/>
      <c r="AA19" s="65">
        <f t="shared" si="3"/>
        <v>0.14037267080745341</v>
      </c>
      <c r="AB19" s="57"/>
      <c r="AC19" s="81">
        <f>SUM(AC6:AC18)</f>
        <v>363113.69000000012</v>
      </c>
      <c r="AD19" s="57"/>
      <c r="AE19" s="65">
        <f t="shared" si="5"/>
        <v>0.65439295123356001</v>
      </c>
      <c r="AF19" s="57"/>
      <c r="AG19" s="57"/>
      <c r="AH19" s="57"/>
      <c r="AI19" s="57"/>
      <c r="AJ19" s="57"/>
    </row>
    <row r="20" spans="1:36" x14ac:dyDescent="0.2">
      <c r="Z20" s="57"/>
      <c r="AB20" s="57"/>
      <c r="AD20" s="57"/>
      <c r="AF20" s="57"/>
      <c r="AG20" s="57"/>
      <c r="AH20" s="57"/>
      <c r="AI20" s="57"/>
      <c r="AJ20" s="57"/>
    </row>
    <row r="21" spans="1:36" x14ac:dyDescent="0.2">
      <c r="A21" s="54" t="s">
        <v>1376</v>
      </c>
      <c r="Z21" s="57"/>
      <c r="AB21" s="57"/>
      <c r="AD21" s="57"/>
      <c r="AF21" s="57"/>
      <c r="AG21" s="57"/>
      <c r="AH21" s="57"/>
      <c r="AI21" s="57"/>
      <c r="AJ21" s="57"/>
    </row>
    <row r="22" spans="1:36" x14ac:dyDescent="0.2">
      <c r="A22" s="55" t="s">
        <v>13</v>
      </c>
      <c r="B22" s="56" t="s">
        <v>575</v>
      </c>
      <c r="C22" s="77">
        <v>4329951.59</v>
      </c>
      <c r="E22" s="77">
        <v>4170532.56</v>
      </c>
      <c r="G22" s="77">
        <v>5178290.46</v>
      </c>
      <c r="I22" s="77">
        <v>4620600</v>
      </c>
      <c r="K22" s="77">
        <v>4620600</v>
      </c>
      <c r="M22" s="77">
        <v>5044606.26</v>
      </c>
      <c r="O22" s="77">
        <f t="shared" ref="O22:O27" si="6">PRODUCT(M22,0/12)</f>
        <v>0</v>
      </c>
      <c r="Q22" s="77">
        <f t="shared" ref="Q22:Q31" si="7">SUM(M22,O22)</f>
        <v>5044606.26</v>
      </c>
      <c r="S22" s="77">
        <v>4500000</v>
      </c>
      <c r="U22" s="77">
        <v>4500000</v>
      </c>
      <c r="W22" s="77">
        <f>PRODUCT(S22,1.03)</f>
        <v>4635000</v>
      </c>
      <c r="Y22" s="77">
        <f t="shared" ref="Y22:Y31" si="8">SUM(W22,-I22)</f>
        <v>14400</v>
      </c>
      <c r="Z22" s="57"/>
      <c r="AA22" s="58">
        <f t="shared" ref="AA22:AA32" si="9">IF(W22=0,"N/A",PRODUCT(Y22,1/I22))</f>
        <v>3.1164783794312427E-3</v>
      </c>
      <c r="AB22" s="57"/>
      <c r="AC22" s="77">
        <f t="shared" ref="AC22:AC31" si="10">SUM(W22,-Q22)</f>
        <v>-409606.25999999978</v>
      </c>
      <c r="AD22" s="57"/>
      <c r="AE22" s="58">
        <f t="shared" ref="AE22:AE32" si="11">IF(W22=0,"N/A",PRODUCT(AC22,1/Q22))</f>
        <v>-8.1196874223440338E-2</v>
      </c>
      <c r="AF22" s="57"/>
      <c r="AG22" s="57" t="s">
        <v>1110</v>
      </c>
      <c r="AH22" s="57"/>
      <c r="AI22" s="57"/>
      <c r="AJ22" s="57"/>
    </row>
    <row r="23" spans="1:36" x14ac:dyDescent="0.2">
      <c r="A23" s="59" t="s">
        <v>14</v>
      </c>
      <c r="B23" s="60" t="s">
        <v>576</v>
      </c>
      <c r="C23" s="79">
        <v>257030.54</v>
      </c>
      <c r="D23" s="80"/>
      <c r="E23" s="79">
        <v>254630.09</v>
      </c>
      <c r="F23" s="80"/>
      <c r="G23" s="79">
        <v>297480.34999999998</v>
      </c>
      <c r="H23" s="79"/>
      <c r="I23" s="79">
        <v>283800</v>
      </c>
      <c r="J23" s="79"/>
      <c r="K23" s="79">
        <v>283800</v>
      </c>
      <c r="L23" s="79"/>
      <c r="M23" s="79">
        <v>294006.87</v>
      </c>
      <c r="N23" s="79"/>
      <c r="O23" s="79">
        <f t="shared" si="6"/>
        <v>0</v>
      </c>
      <c r="P23" s="79"/>
      <c r="Q23" s="79">
        <f t="shared" si="7"/>
        <v>294006.87</v>
      </c>
      <c r="R23" s="79"/>
      <c r="S23" s="79">
        <v>260000</v>
      </c>
      <c r="T23" s="79"/>
      <c r="U23" s="79">
        <v>260000</v>
      </c>
      <c r="V23" s="79"/>
      <c r="W23" s="79">
        <f>PRODUCT(S23,1.03)</f>
        <v>267800</v>
      </c>
      <c r="X23" s="79"/>
      <c r="Y23" s="79">
        <f t="shared" si="8"/>
        <v>-16000</v>
      </c>
      <c r="Z23" s="62"/>
      <c r="AA23" s="63">
        <f t="shared" si="9"/>
        <v>-5.6377730796335443E-2</v>
      </c>
      <c r="AB23" s="62"/>
      <c r="AC23" s="79">
        <f t="shared" si="10"/>
        <v>-26206.869999999995</v>
      </c>
      <c r="AD23" s="62"/>
      <c r="AE23" s="63">
        <f t="shared" si="11"/>
        <v>-8.913693071185716E-2</v>
      </c>
      <c r="AF23" s="57"/>
      <c r="AG23" s="57" t="s">
        <v>1110</v>
      </c>
      <c r="AH23" s="57"/>
      <c r="AI23" s="57"/>
      <c r="AJ23" s="57"/>
    </row>
    <row r="24" spans="1:36" x14ac:dyDescent="0.2">
      <c r="A24" s="55" t="s">
        <v>15</v>
      </c>
      <c r="B24" s="56" t="s">
        <v>496</v>
      </c>
      <c r="C24" s="77">
        <v>309700</v>
      </c>
      <c r="E24" s="77">
        <v>608120</v>
      </c>
      <c r="G24" s="77">
        <v>892146.44</v>
      </c>
      <c r="I24" s="77">
        <v>783000</v>
      </c>
      <c r="K24" s="77">
        <v>783000</v>
      </c>
      <c r="M24" s="77">
        <v>628068.11</v>
      </c>
      <c r="O24" s="77">
        <f t="shared" si="6"/>
        <v>0</v>
      </c>
      <c r="Q24" s="77">
        <f t="shared" si="7"/>
        <v>628068.11</v>
      </c>
      <c r="S24" s="77">
        <v>700000</v>
      </c>
      <c r="U24" s="77">
        <v>780000</v>
      </c>
      <c r="W24" s="77">
        <v>780000</v>
      </c>
      <c r="Y24" s="77">
        <f t="shared" si="8"/>
        <v>-3000</v>
      </c>
      <c r="Z24" s="57"/>
      <c r="AA24" s="58">
        <f t="shared" si="9"/>
        <v>-3.8314176245210726E-3</v>
      </c>
      <c r="AB24" s="57"/>
      <c r="AC24" s="77">
        <f t="shared" si="10"/>
        <v>151931.89000000001</v>
      </c>
      <c r="AD24" s="57"/>
      <c r="AE24" s="58">
        <f t="shared" si="11"/>
        <v>0.2419035253994985</v>
      </c>
      <c r="AF24" s="57"/>
      <c r="AG24" s="57" t="s">
        <v>997</v>
      </c>
      <c r="AH24" s="57"/>
      <c r="AI24" s="57"/>
      <c r="AJ24" s="57"/>
    </row>
    <row r="25" spans="1:36" x14ac:dyDescent="0.2">
      <c r="A25" s="59" t="s">
        <v>16</v>
      </c>
      <c r="B25" s="60" t="s">
        <v>497</v>
      </c>
      <c r="C25" s="79">
        <v>5700</v>
      </c>
      <c r="D25" s="80"/>
      <c r="E25" s="79">
        <v>4650</v>
      </c>
      <c r="F25" s="80"/>
      <c r="G25" s="79">
        <v>9840</v>
      </c>
      <c r="H25" s="79"/>
      <c r="I25" s="79">
        <v>10000</v>
      </c>
      <c r="J25" s="79"/>
      <c r="K25" s="79">
        <v>10000</v>
      </c>
      <c r="L25" s="79"/>
      <c r="M25" s="79">
        <v>7200</v>
      </c>
      <c r="N25" s="79"/>
      <c r="O25" s="79">
        <f t="shared" si="6"/>
        <v>0</v>
      </c>
      <c r="P25" s="79"/>
      <c r="Q25" s="79">
        <f t="shared" si="7"/>
        <v>7200</v>
      </c>
      <c r="R25" s="79"/>
      <c r="S25" s="79">
        <v>9000</v>
      </c>
      <c r="T25" s="79"/>
      <c r="U25" s="79">
        <v>9000</v>
      </c>
      <c r="V25" s="79"/>
      <c r="W25" s="79">
        <v>9000</v>
      </c>
      <c r="X25" s="79"/>
      <c r="Y25" s="79">
        <f t="shared" si="8"/>
        <v>-1000</v>
      </c>
      <c r="Z25" s="62"/>
      <c r="AA25" s="63">
        <f t="shared" si="9"/>
        <v>-0.1</v>
      </c>
      <c r="AB25" s="62"/>
      <c r="AC25" s="79">
        <f t="shared" si="10"/>
        <v>1800</v>
      </c>
      <c r="AD25" s="62"/>
      <c r="AE25" s="63">
        <f t="shared" si="11"/>
        <v>0.25</v>
      </c>
      <c r="AF25" s="57"/>
      <c r="AG25" s="57"/>
      <c r="AH25" s="57"/>
      <c r="AI25" s="57"/>
      <c r="AJ25" s="57"/>
    </row>
    <row r="26" spans="1:36" x14ac:dyDescent="0.2">
      <c r="A26" s="55" t="s">
        <v>17</v>
      </c>
      <c r="B26" s="56" t="s">
        <v>592</v>
      </c>
      <c r="C26" s="77">
        <v>18483.060000000001</v>
      </c>
      <c r="E26" s="77">
        <v>15257.59</v>
      </c>
      <c r="G26" s="77">
        <v>13251.41</v>
      </c>
      <c r="I26" s="77">
        <v>10000</v>
      </c>
      <c r="K26" s="77">
        <v>10000</v>
      </c>
      <c r="M26" s="77">
        <v>28158.16</v>
      </c>
      <c r="O26" s="77">
        <f t="shared" si="6"/>
        <v>0</v>
      </c>
      <c r="Q26" s="77">
        <f t="shared" si="7"/>
        <v>28158.16</v>
      </c>
      <c r="S26" s="77">
        <v>25000</v>
      </c>
      <c r="U26" s="77">
        <v>25000</v>
      </c>
      <c r="W26" s="77">
        <v>25000</v>
      </c>
      <c r="Y26" s="77">
        <f t="shared" si="8"/>
        <v>15000</v>
      </c>
      <c r="Z26" s="57"/>
      <c r="AA26" s="58">
        <f t="shared" si="9"/>
        <v>1.5</v>
      </c>
      <c r="AB26" s="57"/>
      <c r="AC26" s="77">
        <f t="shared" si="10"/>
        <v>-3158.16</v>
      </c>
      <c r="AD26" s="57"/>
      <c r="AE26" s="58">
        <f t="shared" si="11"/>
        <v>-0.11215789668074902</v>
      </c>
      <c r="AF26" s="57"/>
      <c r="AG26" s="57" t="s">
        <v>1127</v>
      </c>
      <c r="AH26" s="57"/>
      <c r="AI26" s="57"/>
      <c r="AJ26" s="57"/>
    </row>
    <row r="27" spans="1:36" x14ac:dyDescent="0.2">
      <c r="A27" s="59" t="s">
        <v>18</v>
      </c>
      <c r="B27" s="60" t="s">
        <v>250</v>
      </c>
      <c r="C27" s="79">
        <v>60898.17</v>
      </c>
      <c r="D27" s="80"/>
      <c r="E27" s="79">
        <v>57430.1</v>
      </c>
      <c r="F27" s="80"/>
      <c r="G27" s="79">
        <v>60982.2</v>
      </c>
      <c r="H27" s="79"/>
      <c r="I27" s="79">
        <v>61000</v>
      </c>
      <c r="J27" s="79"/>
      <c r="K27" s="79">
        <v>61000</v>
      </c>
      <c r="L27" s="79"/>
      <c r="M27" s="79">
        <v>54849.32</v>
      </c>
      <c r="N27" s="79"/>
      <c r="O27" s="79">
        <f t="shared" si="6"/>
        <v>0</v>
      </c>
      <c r="P27" s="79"/>
      <c r="Q27" s="79">
        <f t="shared" si="7"/>
        <v>54849.32</v>
      </c>
      <c r="R27" s="79"/>
      <c r="S27" s="79">
        <v>60000</v>
      </c>
      <c r="T27" s="79"/>
      <c r="U27" s="79">
        <v>60000</v>
      </c>
      <c r="V27" s="79"/>
      <c r="W27" s="79">
        <v>60000</v>
      </c>
      <c r="X27" s="79"/>
      <c r="Y27" s="79">
        <f t="shared" si="8"/>
        <v>-1000</v>
      </c>
      <c r="Z27" s="62"/>
      <c r="AA27" s="63">
        <f t="shared" si="9"/>
        <v>-1.6393442622950821E-2</v>
      </c>
      <c r="AB27" s="62"/>
      <c r="AC27" s="79">
        <f t="shared" si="10"/>
        <v>5150.68</v>
      </c>
      <c r="AD27" s="62"/>
      <c r="AE27" s="63">
        <f t="shared" si="11"/>
        <v>9.3905995552907504E-2</v>
      </c>
      <c r="AF27" s="57"/>
      <c r="AG27" s="57"/>
      <c r="AH27" s="57"/>
      <c r="AI27" s="57"/>
      <c r="AJ27" s="57"/>
    </row>
    <row r="28" spans="1:36" x14ac:dyDescent="0.2">
      <c r="A28" s="55" t="s">
        <v>19</v>
      </c>
      <c r="B28" s="56" t="s">
        <v>512</v>
      </c>
      <c r="C28" s="77">
        <v>11750</v>
      </c>
      <c r="E28" s="77">
        <v>15050</v>
      </c>
      <c r="G28" s="77">
        <v>2750</v>
      </c>
      <c r="I28" s="77">
        <v>12000</v>
      </c>
      <c r="K28" s="77">
        <v>12000</v>
      </c>
      <c r="M28" s="77">
        <v>12600</v>
      </c>
      <c r="O28" s="77">
        <v>0</v>
      </c>
      <c r="Q28" s="77">
        <f t="shared" si="7"/>
        <v>12600</v>
      </c>
      <c r="S28" s="77">
        <v>12000</v>
      </c>
      <c r="U28" s="77">
        <v>12000</v>
      </c>
      <c r="W28" s="77">
        <v>21600</v>
      </c>
      <c r="Y28" s="77">
        <f t="shared" si="8"/>
        <v>9600</v>
      </c>
      <c r="Z28" s="57"/>
      <c r="AA28" s="58">
        <f t="shared" si="9"/>
        <v>0.79999999999999993</v>
      </c>
      <c r="AB28" s="57"/>
      <c r="AC28" s="77">
        <f t="shared" si="10"/>
        <v>9000</v>
      </c>
      <c r="AD28" s="57"/>
      <c r="AE28" s="58">
        <f t="shared" si="11"/>
        <v>0.7142857142857143</v>
      </c>
      <c r="AF28" s="57"/>
      <c r="AG28" s="57" t="s">
        <v>1111</v>
      </c>
      <c r="AH28" s="57"/>
      <c r="AI28" s="57"/>
      <c r="AJ28" s="57"/>
    </row>
    <row r="29" spans="1:36" x14ac:dyDescent="0.2">
      <c r="A29" s="59" t="s">
        <v>20</v>
      </c>
      <c r="B29" s="60" t="s">
        <v>256</v>
      </c>
      <c r="C29" s="79">
        <v>1726.61</v>
      </c>
      <c r="D29" s="80"/>
      <c r="E29" s="79">
        <v>611.32000000000005</v>
      </c>
      <c r="F29" s="80"/>
      <c r="G29" s="79">
        <v>12947.31</v>
      </c>
      <c r="H29" s="79"/>
      <c r="I29" s="79">
        <v>1000</v>
      </c>
      <c r="J29" s="79"/>
      <c r="K29" s="79">
        <v>1000</v>
      </c>
      <c r="L29" s="79"/>
      <c r="M29" s="79">
        <v>2013.21</v>
      </c>
      <c r="N29" s="79"/>
      <c r="O29" s="79">
        <f>PRODUCT(M29,0/12)</f>
        <v>0</v>
      </c>
      <c r="P29" s="79"/>
      <c r="Q29" s="79">
        <f t="shared" si="7"/>
        <v>2013.21</v>
      </c>
      <c r="R29" s="79"/>
      <c r="S29" s="79">
        <v>2000</v>
      </c>
      <c r="T29" s="79"/>
      <c r="U29" s="79">
        <v>2000</v>
      </c>
      <c r="V29" s="79"/>
      <c r="W29" s="79">
        <v>2000</v>
      </c>
      <c r="X29" s="79"/>
      <c r="Y29" s="79">
        <f t="shared" si="8"/>
        <v>1000</v>
      </c>
      <c r="Z29" s="62"/>
      <c r="AA29" s="63">
        <f t="shared" si="9"/>
        <v>1</v>
      </c>
      <c r="AB29" s="62"/>
      <c r="AC29" s="79">
        <f t="shared" si="10"/>
        <v>-13.210000000000036</v>
      </c>
      <c r="AD29" s="62"/>
      <c r="AE29" s="63">
        <f t="shared" si="11"/>
        <v>-6.5616602341534349E-3</v>
      </c>
      <c r="AF29" s="57"/>
      <c r="AG29" s="57"/>
      <c r="AH29" s="57"/>
      <c r="AI29" s="57"/>
      <c r="AJ29" s="57"/>
    </row>
    <row r="30" spans="1:36" x14ac:dyDescent="0.2">
      <c r="A30" s="55" t="s">
        <v>21</v>
      </c>
      <c r="B30" s="56" t="s">
        <v>513</v>
      </c>
      <c r="C30" s="77">
        <v>-129.49</v>
      </c>
      <c r="E30" s="77">
        <v>0</v>
      </c>
      <c r="G30" s="77">
        <v>0</v>
      </c>
      <c r="I30" s="77">
        <v>0</v>
      </c>
      <c r="K30" s="77">
        <v>0</v>
      </c>
      <c r="M30" s="77">
        <v>0</v>
      </c>
      <c r="O30" s="77">
        <f>PRODUCT(M30,0/12)</f>
        <v>0</v>
      </c>
      <c r="Q30" s="77">
        <f t="shared" si="7"/>
        <v>0</v>
      </c>
      <c r="S30" s="77">
        <v>0</v>
      </c>
      <c r="U30" s="77">
        <v>0</v>
      </c>
      <c r="W30" s="77">
        <v>0</v>
      </c>
      <c r="Y30" s="77">
        <f t="shared" si="8"/>
        <v>0</v>
      </c>
      <c r="Z30" s="57"/>
      <c r="AA30" s="58" t="str">
        <f t="shared" si="9"/>
        <v>N/A</v>
      </c>
      <c r="AB30" s="57"/>
      <c r="AC30" s="77">
        <f t="shared" si="10"/>
        <v>0</v>
      </c>
      <c r="AD30" s="57"/>
      <c r="AE30" s="58" t="str">
        <f t="shared" si="11"/>
        <v>N/A</v>
      </c>
      <c r="AF30" s="57"/>
      <c r="AG30" s="57"/>
      <c r="AH30" s="57"/>
      <c r="AI30" s="57"/>
      <c r="AJ30" s="57"/>
    </row>
    <row r="31" spans="1:36" x14ac:dyDescent="0.2">
      <c r="A31" s="59" t="s">
        <v>22</v>
      </c>
      <c r="B31" s="60" t="s">
        <v>577</v>
      </c>
      <c r="C31" s="79">
        <v>51442.64</v>
      </c>
      <c r="D31" s="80"/>
      <c r="E31" s="79">
        <v>0</v>
      </c>
      <c r="F31" s="80"/>
      <c r="G31" s="79">
        <v>0</v>
      </c>
      <c r="H31" s="79"/>
      <c r="I31" s="79">
        <v>0</v>
      </c>
      <c r="J31" s="79"/>
      <c r="K31" s="79">
        <v>0</v>
      </c>
      <c r="L31" s="79"/>
      <c r="M31" s="79">
        <v>0</v>
      </c>
      <c r="N31" s="79"/>
      <c r="O31" s="79">
        <f>PRODUCT(M31,0/12)</f>
        <v>0</v>
      </c>
      <c r="P31" s="79"/>
      <c r="Q31" s="79">
        <f t="shared" si="7"/>
        <v>0</v>
      </c>
      <c r="R31" s="79"/>
      <c r="S31" s="79">
        <v>0</v>
      </c>
      <c r="T31" s="79"/>
      <c r="U31" s="79">
        <v>0</v>
      </c>
      <c r="V31" s="79"/>
      <c r="W31" s="79">
        <v>0</v>
      </c>
      <c r="X31" s="79"/>
      <c r="Y31" s="79">
        <f t="shared" si="8"/>
        <v>0</v>
      </c>
      <c r="Z31" s="62"/>
      <c r="AA31" s="63" t="str">
        <f t="shared" si="9"/>
        <v>N/A</v>
      </c>
      <c r="AB31" s="62"/>
      <c r="AC31" s="79">
        <f t="shared" si="10"/>
        <v>0</v>
      </c>
      <c r="AD31" s="62"/>
      <c r="AE31" s="63" t="str">
        <f t="shared" si="11"/>
        <v>N/A</v>
      </c>
      <c r="AF31" s="57"/>
      <c r="AG31" s="57"/>
      <c r="AH31" s="57"/>
      <c r="AI31" s="57"/>
      <c r="AJ31" s="57"/>
    </row>
    <row r="32" spans="1:36" x14ac:dyDescent="0.2">
      <c r="A32" s="64" t="s">
        <v>1375</v>
      </c>
      <c r="C32" s="81">
        <f>SUM(C22:C31)</f>
        <v>5046553.1199999992</v>
      </c>
      <c r="E32" s="81">
        <f>SUM(E22:E31)</f>
        <v>5126281.66</v>
      </c>
      <c r="G32" s="81">
        <f>SUM(G22:G31)</f>
        <v>6467688.1699999999</v>
      </c>
      <c r="I32" s="81">
        <f>SUM(I22:I31)</f>
        <v>5781400</v>
      </c>
      <c r="K32" s="81">
        <f>SUM(K22:K31)</f>
        <v>5781400</v>
      </c>
      <c r="M32" s="81">
        <f>SUM(M22:M31)</f>
        <v>6071501.9300000006</v>
      </c>
      <c r="O32" s="81">
        <f>SUM(O22:O31)</f>
        <v>0</v>
      </c>
      <c r="Q32" s="81">
        <f>SUM(Q22:Q31)</f>
        <v>6071501.9300000006</v>
      </c>
      <c r="S32" s="81">
        <f>SUM(S22:S31)</f>
        <v>5568000</v>
      </c>
      <c r="U32" s="81">
        <f>SUM(U22:U31)</f>
        <v>5648000</v>
      </c>
      <c r="W32" s="81">
        <f>SUM(W22:W31)</f>
        <v>5800400</v>
      </c>
      <c r="Y32" s="81">
        <f>SUM(Y22:Y31)</f>
        <v>19000</v>
      </c>
      <c r="Z32" s="57"/>
      <c r="AA32" s="65">
        <f t="shared" si="9"/>
        <v>3.2864012176981351E-3</v>
      </c>
      <c r="AB32" s="57"/>
      <c r="AC32" s="81">
        <f>SUM(AC22:AC31)</f>
        <v>-271101.92999999976</v>
      </c>
      <c r="AD32" s="57"/>
      <c r="AE32" s="65">
        <f t="shared" si="11"/>
        <v>-4.4651543082026117E-2</v>
      </c>
      <c r="AF32" s="57"/>
      <c r="AG32" s="57"/>
      <c r="AH32" s="57"/>
      <c r="AI32" s="57"/>
      <c r="AJ32" s="57"/>
    </row>
    <row r="33" spans="1:36" x14ac:dyDescent="0.2">
      <c r="Z33" s="57"/>
      <c r="AB33" s="57"/>
      <c r="AD33" s="57"/>
      <c r="AF33" s="57"/>
      <c r="AG33" s="57"/>
      <c r="AH33" s="57"/>
      <c r="AI33" s="57"/>
      <c r="AJ33" s="57"/>
    </row>
    <row r="34" spans="1:36" x14ac:dyDescent="0.2">
      <c r="A34" s="54" t="s">
        <v>1374</v>
      </c>
      <c r="Z34" s="57"/>
      <c r="AB34" s="57"/>
      <c r="AD34" s="57"/>
      <c r="AF34" s="57"/>
      <c r="AG34" s="57"/>
      <c r="AH34" s="57"/>
      <c r="AI34" s="57"/>
      <c r="AJ34" s="57"/>
    </row>
    <row r="35" spans="1:36" x14ac:dyDescent="0.2">
      <c r="A35" s="59" t="s">
        <v>23</v>
      </c>
      <c r="B35" s="60" t="s">
        <v>592</v>
      </c>
      <c r="C35" s="79">
        <v>15245.38</v>
      </c>
      <c r="D35" s="80"/>
      <c r="E35" s="79">
        <v>16049.65</v>
      </c>
      <c r="F35" s="80"/>
      <c r="G35" s="79">
        <v>14878</v>
      </c>
      <c r="H35" s="79"/>
      <c r="I35" s="79">
        <v>14000</v>
      </c>
      <c r="J35" s="79"/>
      <c r="K35" s="79">
        <v>14000</v>
      </c>
      <c r="L35" s="79"/>
      <c r="M35" s="79">
        <v>22125.3</v>
      </c>
      <c r="N35" s="79"/>
      <c r="O35" s="79">
        <f t="shared" ref="O35:O41" si="12">PRODUCT(M35,0/12)</f>
        <v>0</v>
      </c>
      <c r="P35" s="79"/>
      <c r="Q35" s="79">
        <f t="shared" ref="Q35:Q41" si="13">SUM(M35,O35)</f>
        <v>22125.3</v>
      </c>
      <c r="R35" s="79"/>
      <c r="S35" s="79">
        <v>15000</v>
      </c>
      <c r="T35" s="79"/>
      <c r="U35" s="79">
        <v>15000</v>
      </c>
      <c r="V35" s="79"/>
      <c r="W35" s="79">
        <v>15000</v>
      </c>
      <c r="X35" s="79"/>
      <c r="Y35" s="79">
        <f t="shared" ref="Y35:Y41" si="14">SUM(W35,-I35)</f>
        <v>1000</v>
      </c>
      <c r="Z35" s="62"/>
      <c r="AA35" s="63">
        <f t="shared" ref="AA35:AA42" si="15">IF(W35=0,"N/A",PRODUCT(Y35,1/I35))</f>
        <v>7.1428571428571438E-2</v>
      </c>
      <c r="AB35" s="62"/>
      <c r="AC35" s="79">
        <f t="shared" ref="AC35:AC41" si="16">SUM(W35,-Q35)</f>
        <v>-7125.2999999999993</v>
      </c>
      <c r="AD35" s="62"/>
      <c r="AE35" s="63">
        <f t="shared" ref="AE35:AE42" si="17">IF(W35=0,"N/A",PRODUCT(AC35,1/Q35))</f>
        <v>-0.32204309094113975</v>
      </c>
      <c r="AF35" s="57"/>
      <c r="AG35" s="57"/>
      <c r="AH35" s="57"/>
      <c r="AI35" s="57"/>
      <c r="AJ35" s="57"/>
    </row>
    <row r="36" spans="1:36" x14ac:dyDescent="0.2">
      <c r="A36" s="55" t="s">
        <v>24</v>
      </c>
      <c r="B36" s="56" t="s">
        <v>593</v>
      </c>
      <c r="C36" s="77">
        <v>2653148.1800000002</v>
      </c>
      <c r="E36" s="77">
        <v>2947887.11</v>
      </c>
      <c r="G36" s="77">
        <v>3073362.43</v>
      </c>
      <c r="I36" s="77">
        <v>2819900</v>
      </c>
      <c r="K36" s="77">
        <v>2819900</v>
      </c>
      <c r="M36" s="77">
        <v>3113246.04</v>
      </c>
      <c r="O36" s="77">
        <f t="shared" si="12"/>
        <v>0</v>
      </c>
      <c r="Q36" s="77">
        <f t="shared" si="13"/>
        <v>3113246.04</v>
      </c>
      <c r="S36" s="77">
        <v>3200000</v>
      </c>
      <c r="U36" s="77">
        <v>3200000</v>
      </c>
      <c r="W36" s="77">
        <v>3200000</v>
      </c>
      <c r="Y36" s="77">
        <f t="shared" si="14"/>
        <v>380100</v>
      </c>
      <c r="Z36" s="57"/>
      <c r="AA36" s="58">
        <f t="shared" si="15"/>
        <v>0.13479201390120216</v>
      </c>
      <c r="AB36" s="57"/>
      <c r="AC36" s="77">
        <f t="shared" si="16"/>
        <v>86753.959999999963</v>
      </c>
      <c r="AD36" s="57"/>
      <c r="AE36" s="58">
        <f t="shared" si="17"/>
        <v>2.7866078968818014E-2</v>
      </c>
      <c r="AF36" s="57"/>
      <c r="AG36" s="57" t="s">
        <v>1110</v>
      </c>
      <c r="AH36" s="57"/>
      <c r="AI36" s="57"/>
      <c r="AJ36" s="57"/>
    </row>
    <row r="37" spans="1:36" x14ac:dyDescent="0.2">
      <c r="A37" s="59" t="s">
        <v>25</v>
      </c>
      <c r="B37" s="60" t="s">
        <v>498</v>
      </c>
      <c r="C37" s="79">
        <v>261600</v>
      </c>
      <c r="D37" s="80"/>
      <c r="E37" s="79">
        <v>591265.32999999996</v>
      </c>
      <c r="F37" s="80"/>
      <c r="G37" s="79">
        <v>822375.1</v>
      </c>
      <c r="H37" s="79"/>
      <c r="I37" s="79">
        <v>700000</v>
      </c>
      <c r="J37" s="79"/>
      <c r="K37" s="79">
        <v>700000</v>
      </c>
      <c r="L37" s="79"/>
      <c r="M37" s="79">
        <v>525508.87</v>
      </c>
      <c r="N37" s="79"/>
      <c r="O37" s="79">
        <f t="shared" si="12"/>
        <v>0</v>
      </c>
      <c r="P37" s="79"/>
      <c r="Q37" s="79">
        <f t="shared" si="13"/>
        <v>525508.87</v>
      </c>
      <c r="R37" s="79"/>
      <c r="S37" s="79">
        <v>700000</v>
      </c>
      <c r="T37" s="79"/>
      <c r="U37" s="79">
        <v>700000</v>
      </c>
      <c r="V37" s="79"/>
      <c r="W37" s="79">
        <v>700000</v>
      </c>
      <c r="X37" s="79"/>
      <c r="Y37" s="79">
        <f t="shared" si="14"/>
        <v>0</v>
      </c>
      <c r="Z37" s="62"/>
      <c r="AA37" s="63">
        <f t="shared" si="15"/>
        <v>0</v>
      </c>
      <c r="AB37" s="62"/>
      <c r="AC37" s="79">
        <f t="shared" si="16"/>
        <v>174491.13</v>
      </c>
      <c r="AD37" s="62"/>
      <c r="AE37" s="63">
        <f t="shared" si="17"/>
        <v>0.33204221652814347</v>
      </c>
      <c r="AF37" s="57"/>
      <c r="AG37" s="57" t="s">
        <v>998</v>
      </c>
      <c r="AH37" s="57"/>
      <c r="AI37" s="57"/>
      <c r="AJ37" s="57"/>
    </row>
    <row r="38" spans="1:36" x14ac:dyDescent="0.2">
      <c r="A38" s="55" t="s">
        <v>26</v>
      </c>
      <c r="B38" s="56" t="s">
        <v>594</v>
      </c>
      <c r="C38" s="77">
        <v>185425.22</v>
      </c>
      <c r="E38" s="77">
        <v>194283.11</v>
      </c>
      <c r="G38" s="77">
        <v>214798.9</v>
      </c>
      <c r="I38" s="77">
        <v>202000</v>
      </c>
      <c r="K38" s="77">
        <v>202000</v>
      </c>
      <c r="M38" s="77">
        <v>239122.75</v>
      </c>
      <c r="O38" s="77">
        <f t="shared" si="12"/>
        <v>0</v>
      </c>
      <c r="Q38" s="77">
        <f t="shared" si="13"/>
        <v>239122.75</v>
      </c>
      <c r="S38" s="77">
        <v>205000</v>
      </c>
      <c r="U38" s="77">
        <v>205000</v>
      </c>
      <c r="W38" s="77">
        <v>225000</v>
      </c>
      <c r="Y38" s="77">
        <f t="shared" si="14"/>
        <v>23000</v>
      </c>
      <c r="Z38" s="57"/>
      <c r="AA38" s="58">
        <f t="shared" si="15"/>
        <v>0.11386138613861387</v>
      </c>
      <c r="AB38" s="57"/>
      <c r="AC38" s="77">
        <f t="shared" si="16"/>
        <v>-14122.75</v>
      </c>
      <c r="AD38" s="57"/>
      <c r="AE38" s="58">
        <f t="shared" si="17"/>
        <v>-5.9060670722463668E-2</v>
      </c>
      <c r="AF38" s="57"/>
      <c r="AG38" s="57"/>
      <c r="AH38" s="57"/>
      <c r="AI38" s="57"/>
      <c r="AJ38" s="57"/>
    </row>
    <row r="39" spans="1:36" x14ac:dyDescent="0.2">
      <c r="A39" s="59" t="s">
        <v>27</v>
      </c>
      <c r="B39" s="60" t="s">
        <v>595</v>
      </c>
      <c r="C39" s="79">
        <v>62375.41</v>
      </c>
      <c r="D39" s="80"/>
      <c r="E39" s="79">
        <v>65948.100000000006</v>
      </c>
      <c r="F39" s="80"/>
      <c r="G39" s="79">
        <v>97284.53</v>
      </c>
      <c r="H39" s="79"/>
      <c r="I39" s="79">
        <v>75000</v>
      </c>
      <c r="J39" s="79"/>
      <c r="K39" s="79">
        <v>75000</v>
      </c>
      <c r="L39" s="79"/>
      <c r="M39" s="79">
        <v>101713.23</v>
      </c>
      <c r="N39" s="79"/>
      <c r="O39" s="79">
        <f t="shared" si="12"/>
        <v>0</v>
      </c>
      <c r="P39" s="79"/>
      <c r="Q39" s="79">
        <f t="shared" si="13"/>
        <v>101713.23</v>
      </c>
      <c r="R39" s="79"/>
      <c r="S39" s="79">
        <v>85000</v>
      </c>
      <c r="T39" s="79"/>
      <c r="U39" s="79">
        <v>85000</v>
      </c>
      <c r="V39" s="79"/>
      <c r="W39" s="79">
        <v>95000</v>
      </c>
      <c r="X39" s="79"/>
      <c r="Y39" s="79">
        <f t="shared" si="14"/>
        <v>20000</v>
      </c>
      <c r="Z39" s="62"/>
      <c r="AA39" s="63">
        <f t="shared" si="15"/>
        <v>0.26666666666666666</v>
      </c>
      <c r="AB39" s="62"/>
      <c r="AC39" s="79">
        <f t="shared" si="16"/>
        <v>-6713.2299999999959</v>
      </c>
      <c r="AD39" s="62"/>
      <c r="AE39" s="63">
        <f t="shared" si="17"/>
        <v>-6.6001541785665405E-2</v>
      </c>
      <c r="AF39" s="57"/>
      <c r="AG39" s="57"/>
      <c r="AH39" s="57"/>
      <c r="AI39" s="57"/>
      <c r="AJ39" s="57"/>
    </row>
    <row r="40" spans="1:36" x14ac:dyDescent="0.2">
      <c r="A40" s="55" t="s">
        <v>28</v>
      </c>
      <c r="B40" s="56" t="s">
        <v>596</v>
      </c>
      <c r="C40" s="77">
        <v>261893.27</v>
      </c>
      <c r="E40" s="77">
        <v>459293.74</v>
      </c>
      <c r="G40" s="77">
        <v>747511.06</v>
      </c>
      <c r="I40" s="77">
        <v>750000</v>
      </c>
      <c r="K40" s="77">
        <v>750000</v>
      </c>
      <c r="M40" s="77">
        <v>602635.56000000006</v>
      </c>
      <c r="O40" s="77">
        <f t="shared" si="12"/>
        <v>0</v>
      </c>
      <c r="Q40" s="77">
        <f t="shared" si="13"/>
        <v>602635.56000000006</v>
      </c>
      <c r="S40" s="77">
        <v>700000</v>
      </c>
      <c r="U40" s="77">
        <v>637000</v>
      </c>
      <c r="W40" s="77">
        <v>637000</v>
      </c>
      <c r="Y40" s="77">
        <f t="shared" si="14"/>
        <v>-113000</v>
      </c>
      <c r="Z40" s="57"/>
      <c r="AA40" s="58">
        <f t="shared" si="15"/>
        <v>-0.15066666666666667</v>
      </c>
      <c r="AB40" s="57"/>
      <c r="AC40" s="77">
        <f t="shared" si="16"/>
        <v>34364.439999999944</v>
      </c>
      <c r="AD40" s="57"/>
      <c r="AE40" s="58">
        <f t="shared" si="17"/>
        <v>5.7023584867776374E-2</v>
      </c>
      <c r="AF40" s="57"/>
      <c r="AG40" s="57" t="s">
        <v>999</v>
      </c>
      <c r="AH40" s="57"/>
      <c r="AI40" s="57"/>
      <c r="AJ40" s="57"/>
    </row>
    <row r="41" spans="1:36" x14ac:dyDescent="0.2">
      <c r="A41" s="59" t="s">
        <v>29</v>
      </c>
      <c r="B41" s="60" t="s">
        <v>256</v>
      </c>
      <c r="C41" s="79">
        <v>3400.44</v>
      </c>
      <c r="D41" s="80"/>
      <c r="E41" s="79">
        <v>0</v>
      </c>
      <c r="F41" s="80"/>
      <c r="G41" s="79">
        <v>2342.1</v>
      </c>
      <c r="H41" s="79"/>
      <c r="I41" s="79">
        <v>1000</v>
      </c>
      <c r="J41" s="79"/>
      <c r="K41" s="79">
        <v>1000</v>
      </c>
      <c r="L41" s="79"/>
      <c r="M41" s="79">
        <v>2728.54</v>
      </c>
      <c r="N41" s="79"/>
      <c r="O41" s="79">
        <f t="shared" si="12"/>
        <v>0</v>
      </c>
      <c r="P41" s="79"/>
      <c r="Q41" s="79">
        <f t="shared" si="13"/>
        <v>2728.54</v>
      </c>
      <c r="R41" s="79"/>
      <c r="S41" s="79">
        <v>3000</v>
      </c>
      <c r="T41" s="79"/>
      <c r="U41" s="79">
        <v>0</v>
      </c>
      <c r="V41" s="79"/>
      <c r="W41" s="79">
        <v>1000</v>
      </c>
      <c r="X41" s="79"/>
      <c r="Y41" s="79">
        <f t="shared" si="14"/>
        <v>0</v>
      </c>
      <c r="Z41" s="62"/>
      <c r="AA41" s="63">
        <f t="shared" si="15"/>
        <v>0</v>
      </c>
      <c r="AB41" s="62"/>
      <c r="AC41" s="79">
        <f t="shared" si="16"/>
        <v>-1728.54</v>
      </c>
      <c r="AD41" s="62"/>
      <c r="AE41" s="63">
        <f t="shared" si="17"/>
        <v>-0.63350363197900705</v>
      </c>
      <c r="AF41" s="57"/>
      <c r="AG41" s="57"/>
      <c r="AH41" s="57"/>
      <c r="AI41" s="57"/>
      <c r="AJ41" s="57"/>
    </row>
    <row r="42" spans="1:36" x14ac:dyDescent="0.2">
      <c r="A42" s="64" t="s">
        <v>1373</v>
      </c>
      <c r="C42" s="81">
        <f>SUM(C35:C41)</f>
        <v>3443087.9000000004</v>
      </c>
      <c r="E42" s="81">
        <f>SUM(E35:E41)</f>
        <v>4274727.04</v>
      </c>
      <c r="G42" s="81">
        <f>SUM(G35:G41)</f>
        <v>4972552.1199999992</v>
      </c>
      <c r="I42" s="81">
        <f>SUM(I35:I41)</f>
        <v>4561900</v>
      </c>
      <c r="K42" s="81">
        <f>SUM(K35:K41)</f>
        <v>4561900</v>
      </c>
      <c r="M42" s="81">
        <f>SUM(M35:M41)</f>
        <v>4607080.29</v>
      </c>
      <c r="O42" s="81">
        <f>SUM(O35:O41)</f>
        <v>0</v>
      </c>
      <c r="Q42" s="81">
        <f>SUM(Q35:Q41)</f>
        <v>4607080.29</v>
      </c>
      <c r="S42" s="81">
        <f>SUM(S35:S41)</f>
        <v>4908000</v>
      </c>
      <c r="U42" s="81">
        <f>SUM(U35:U41)</f>
        <v>4842000</v>
      </c>
      <c r="W42" s="81">
        <f>SUM(W35:W41)</f>
        <v>4873000</v>
      </c>
      <c r="Y42" s="81">
        <f>SUM(Y35:Y41)</f>
        <v>311100</v>
      </c>
      <c r="Z42" s="57"/>
      <c r="AA42" s="65">
        <f t="shared" si="15"/>
        <v>6.8195269514895102E-2</v>
      </c>
      <c r="AB42" s="57"/>
      <c r="AC42" s="81">
        <f>SUM(AC35:AC41)</f>
        <v>265919.70999999996</v>
      </c>
      <c r="AD42" s="57"/>
      <c r="AE42" s="65">
        <f t="shared" si="17"/>
        <v>5.7719790683309312E-2</v>
      </c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A44" s="54" t="s">
        <v>1372</v>
      </c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A45" s="55" t="s">
        <v>30</v>
      </c>
      <c r="B45" s="56" t="s">
        <v>602</v>
      </c>
      <c r="C45" s="77">
        <v>18796.59</v>
      </c>
      <c r="E45" s="77">
        <v>28258.35</v>
      </c>
      <c r="G45" s="77">
        <v>20144.849999999999</v>
      </c>
      <c r="I45" s="77">
        <v>40000</v>
      </c>
      <c r="K45" s="77">
        <v>40000</v>
      </c>
      <c r="M45" s="77">
        <v>36882.81</v>
      </c>
      <c r="O45" s="77">
        <f t="shared" ref="O45:O48" si="18">PRODUCT(M45,0/12)</f>
        <v>0</v>
      </c>
      <c r="Q45" s="77">
        <f>SUM(M45,O45)</f>
        <v>36882.81</v>
      </c>
      <c r="S45" s="77">
        <v>30000</v>
      </c>
      <c r="U45" s="77">
        <v>45000</v>
      </c>
      <c r="W45" s="77">
        <v>40000</v>
      </c>
      <c r="Y45" s="77">
        <f>SUM(W45,-I45)</f>
        <v>0</v>
      </c>
      <c r="Z45" s="57"/>
      <c r="AA45" s="58">
        <f>IF(W45=0,"N/A",PRODUCT(Y45,1/I45))</f>
        <v>0</v>
      </c>
      <c r="AB45" s="57"/>
      <c r="AC45" s="77">
        <f>SUM(W45,-Q45)</f>
        <v>3117.1900000000023</v>
      </c>
      <c r="AD45" s="57"/>
      <c r="AE45" s="58">
        <f>IF(W45=0,"N/A",PRODUCT(AC45,1/Q45))</f>
        <v>8.4516065885435587E-2</v>
      </c>
      <c r="AF45" s="57"/>
      <c r="AG45" s="57" t="s">
        <v>1000</v>
      </c>
      <c r="AH45" s="57"/>
      <c r="AI45" s="57"/>
      <c r="AJ45" s="57"/>
    </row>
    <row r="46" spans="1:36" x14ac:dyDescent="0.2">
      <c r="A46" s="59" t="s">
        <v>31</v>
      </c>
      <c r="B46" s="60" t="s">
        <v>603</v>
      </c>
      <c r="C46" s="79">
        <v>175353.2</v>
      </c>
      <c r="D46" s="80"/>
      <c r="E46" s="79">
        <v>177253.11</v>
      </c>
      <c r="F46" s="80"/>
      <c r="G46" s="79">
        <v>206391.1</v>
      </c>
      <c r="H46" s="79"/>
      <c r="I46" s="79">
        <v>201850</v>
      </c>
      <c r="J46" s="79"/>
      <c r="K46" s="79">
        <v>201850</v>
      </c>
      <c r="L46" s="79"/>
      <c r="M46" s="79">
        <v>216983.79</v>
      </c>
      <c r="N46" s="79"/>
      <c r="O46" s="79">
        <f t="shared" si="18"/>
        <v>0</v>
      </c>
      <c r="P46" s="79"/>
      <c r="Q46" s="79">
        <f>SUM(M46,O46)</f>
        <v>216983.79</v>
      </c>
      <c r="R46" s="79"/>
      <c r="S46" s="79">
        <v>205000</v>
      </c>
      <c r="T46" s="79"/>
      <c r="U46" s="79">
        <v>225000</v>
      </c>
      <c r="V46" s="79"/>
      <c r="W46" s="79">
        <v>225000</v>
      </c>
      <c r="X46" s="79"/>
      <c r="Y46" s="79">
        <f>SUM(W46,-I46)</f>
        <v>23150</v>
      </c>
      <c r="Z46" s="62"/>
      <c r="AA46" s="63">
        <f>IF(W46=0,"N/A",PRODUCT(Y46,1/I46))</f>
        <v>0.11468912558830816</v>
      </c>
      <c r="AB46" s="62"/>
      <c r="AC46" s="79">
        <f>SUM(W46,-Q46)</f>
        <v>8016.2099999999919</v>
      </c>
      <c r="AD46" s="62"/>
      <c r="AE46" s="63">
        <f>IF(W46=0,"N/A",PRODUCT(AC46,1/Q46))</f>
        <v>3.694381962818509E-2</v>
      </c>
      <c r="AF46" s="57"/>
      <c r="AG46" s="57" t="s">
        <v>1112</v>
      </c>
      <c r="AH46" s="57"/>
      <c r="AI46" s="57"/>
      <c r="AJ46" s="57"/>
    </row>
    <row r="47" spans="1:36" x14ac:dyDescent="0.2">
      <c r="A47" s="55" t="s">
        <v>32</v>
      </c>
      <c r="B47" s="56" t="s">
        <v>604</v>
      </c>
      <c r="C47" s="77">
        <v>906915.51</v>
      </c>
      <c r="E47" s="77">
        <v>998466.22</v>
      </c>
      <c r="G47" s="77">
        <v>1059280.7</v>
      </c>
      <c r="I47" s="77">
        <v>1086750</v>
      </c>
      <c r="K47" s="77">
        <v>1086750</v>
      </c>
      <c r="M47" s="77">
        <v>1142004.71</v>
      </c>
      <c r="O47" s="77">
        <f t="shared" si="18"/>
        <v>0</v>
      </c>
      <c r="Q47" s="77">
        <f>SUM(M47,O47)</f>
        <v>1142004.71</v>
      </c>
      <c r="S47" s="77">
        <v>1200000</v>
      </c>
      <c r="U47" s="77">
        <v>1500000</v>
      </c>
      <c r="W47" s="77">
        <v>1250000</v>
      </c>
      <c r="Y47" s="77">
        <f>SUM(W47,-I47)</f>
        <v>163250</v>
      </c>
      <c r="Z47" s="57"/>
      <c r="AA47" s="58">
        <f>IF(W47=0,"N/A",PRODUCT(Y47,1/I47))</f>
        <v>0.15021854152288935</v>
      </c>
      <c r="AB47" s="57"/>
      <c r="AC47" s="77">
        <f>SUM(W47,-Q47)</f>
        <v>107995.29000000004</v>
      </c>
      <c r="AD47" s="57"/>
      <c r="AE47" s="58">
        <f>IF(W47=0,"N/A",PRODUCT(AC47,1/Q47))</f>
        <v>9.4566413828538448E-2</v>
      </c>
      <c r="AF47" s="57"/>
      <c r="AG47" s="57" t="s">
        <v>1113</v>
      </c>
      <c r="AH47" s="57"/>
      <c r="AI47" s="57"/>
      <c r="AJ47" s="57"/>
    </row>
    <row r="48" spans="1:36" x14ac:dyDescent="0.2">
      <c r="A48" s="59" t="s">
        <v>33</v>
      </c>
      <c r="B48" s="60" t="s">
        <v>256</v>
      </c>
      <c r="C48" s="79">
        <v>134.86000000000001</v>
      </c>
      <c r="D48" s="80"/>
      <c r="E48" s="79">
        <v>0</v>
      </c>
      <c r="F48" s="80"/>
      <c r="G48" s="79">
        <v>0</v>
      </c>
      <c r="H48" s="79"/>
      <c r="I48" s="79">
        <v>0</v>
      </c>
      <c r="J48" s="79"/>
      <c r="K48" s="79">
        <v>0</v>
      </c>
      <c r="L48" s="79"/>
      <c r="M48" s="79">
        <v>0</v>
      </c>
      <c r="N48" s="79"/>
      <c r="O48" s="79">
        <f t="shared" si="18"/>
        <v>0</v>
      </c>
      <c r="P48" s="79"/>
      <c r="Q48" s="79">
        <f>SUM(M48,O48)</f>
        <v>0</v>
      </c>
      <c r="R48" s="79"/>
      <c r="S48" s="79">
        <v>0</v>
      </c>
      <c r="T48" s="79"/>
      <c r="U48" s="79">
        <v>0</v>
      </c>
      <c r="V48" s="79"/>
      <c r="W48" s="79">
        <v>0</v>
      </c>
      <c r="X48" s="79"/>
      <c r="Y48" s="79">
        <f>SUM(W48,-I48)</f>
        <v>0</v>
      </c>
      <c r="Z48" s="62"/>
      <c r="AA48" s="63" t="str">
        <f>IF(W48=0,"N/A",PRODUCT(Y48,1/I48))</f>
        <v>N/A</v>
      </c>
      <c r="AB48" s="62"/>
      <c r="AC48" s="79">
        <f>SUM(W48,-Q48)</f>
        <v>0</v>
      </c>
      <c r="AD48" s="62"/>
      <c r="AE48" s="63" t="str">
        <f>IF(W48=0,"N/A",PRODUCT(AC48,1/Q48))</f>
        <v>N/A</v>
      </c>
      <c r="AF48" s="57"/>
      <c r="AG48" s="57"/>
      <c r="AH48" s="57"/>
      <c r="AI48" s="57"/>
      <c r="AJ48" s="57"/>
    </row>
    <row r="49" spans="1:36" x14ac:dyDescent="0.2">
      <c r="A49" s="64" t="s">
        <v>1371</v>
      </c>
      <c r="C49" s="81">
        <f>SUM(C45:C48)</f>
        <v>1101200.1600000001</v>
      </c>
      <c r="E49" s="81">
        <f>SUM(E45:E48)</f>
        <v>1203977.68</v>
      </c>
      <c r="F49" s="77"/>
      <c r="G49" s="81">
        <f>SUM(G45:G48)</f>
        <v>1285816.6499999999</v>
      </c>
      <c r="I49" s="81">
        <f>SUM(I45:I48)</f>
        <v>1328600</v>
      </c>
      <c r="K49" s="81">
        <f>SUM(K45:K48)</f>
        <v>1328600</v>
      </c>
      <c r="M49" s="81">
        <f>SUM(M45:M48)</f>
        <v>1395871.31</v>
      </c>
      <c r="O49" s="81">
        <f>SUM(O45:O48)</f>
        <v>0</v>
      </c>
      <c r="Q49" s="81">
        <f>SUM(Q45:Q48)</f>
        <v>1395871.31</v>
      </c>
      <c r="S49" s="81">
        <f>SUM(S45:S48)</f>
        <v>1435000</v>
      </c>
      <c r="U49" s="81">
        <f>SUM(U45:U48)</f>
        <v>1770000</v>
      </c>
      <c r="W49" s="81">
        <f>SUM(W45:W48)</f>
        <v>1515000</v>
      </c>
      <c r="Y49" s="81">
        <f>SUM(Y45:Y48)</f>
        <v>186400</v>
      </c>
      <c r="Z49" s="57"/>
      <c r="AA49" s="65">
        <f>IF(W49=0,"N/A",PRODUCT(Y49,1/I49))</f>
        <v>0.1402980581062773</v>
      </c>
      <c r="AB49" s="57"/>
      <c r="AC49" s="81">
        <f>SUM(AC45:AC48)</f>
        <v>119128.69000000003</v>
      </c>
      <c r="AD49" s="57"/>
      <c r="AE49" s="65">
        <f>IF(W49=0,"N/A",PRODUCT(AC49,1/Q49))</f>
        <v>8.5343605206700632E-2</v>
      </c>
      <c r="AF49" s="57"/>
      <c r="AG49" s="57"/>
      <c r="AH49" s="57"/>
      <c r="AI49" s="57"/>
      <c r="AJ49" s="57"/>
    </row>
    <row r="50" spans="1:36" x14ac:dyDescent="0.2">
      <c r="Z50" s="57"/>
      <c r="AB50" s="57"/>
      <c r="AD50" s="57"/>
      <c r="AF50" s="57"/>
      <c r="AG50" s="57"/>
      <c r="AH50" s="57"/>
      <c r="AI50" s="57"/>
      <c r="AJ50" s="57"/>
    </row>
    <row r="51" spans="1:36" x14ac:dyDescent="0.2">
      <c r="A51" s="54" t="s">
        <v>1370</v>
      </c>
      <c r="Z51" s="57"/>
      <c r="AB51" s="57"/>
      <c r="AD51" s="57"/>
      <c r="AF51" s="57"/>
      <c r="AG51" s="57"/>
      <c r="AH51" s="57"/>
      <c r="AI51" s="57"/>
      <c r="AJ51" s="57"/>
    </row>
    <row r="52" spans="1:36" x14ac:dyDescent="0.2">
      <c r="A52" s="55" t="s">
        <v>34</v>
      </c>
      <c r="B52" s="56" t="s">
        <v>611</v>
      </c>
      <c r="C52" s="77">
        <v>0</v>
      </c>
      <c r="E52" s="77">
        <v>184.69</v>
      </c>
      <c r="G52" s="77">
        <v>924.94</v>
      </c>
      <c r="I52" s="77">
        <v>250</v>
      </c>
      <c r="K52" s="77">
        <v>250</v>
      </c>
      <c r="M52" s="77">
        <v>131</v>
      </c>
      <c r="O52" s="77">
        <f t="shared" ref="O52:O53" si="19">PRODUCT(M52,0/12)</f>
        <v>0</v>
      </c>
      <c r="Q52" s="77">
        <f>SUM(M52,O52)</f>
        <v>131</v>
      </c>
      <c r="S52" s="77">
        <v>250</v>
      </c>
      <c r="U52" s="77">
        <v>250</v>
      </c>
      <c r="W52" s="77">
        <v>250</v>
      </c>
      <c r="Y52" s="77">
        <f>SUM(W52,-I52)</f>
        <v>0</v>
      </c>
      <c r="Z52" s="57"/>
      <c r="AA52" s="58">
        <f>IF(W52=0,"N/A",PRODUCT(Y52,1/I52))</f>
        <v>0</v>
      </c>
      <c r="AB52" s="57"/>
      <c r="AC52" s="77">
        <f>SUM(W52,-Q52)</f>
        <v>119</v>
      </c>
      <c r="AD52" s="57"/>
      <c r="AE52" s="58">
        <f>IF(W52=0,"N/A",PRODUCT(AC52,1/Q52))</f>
        <v>0.90839694656488545</v>
      </c>
      <c r="AF52" s="57"/>
      <c r="AG52" s="57"/>
      <c r="AH52" s="57"/>
      <c r="AI52" s="57"/>
      <c r="AJ52" s="57"/>
    </row>
    <row r="53" spans="1:36" x14ac:dyDescent="0.2">
      <c r="A53" s="59" t="s">
        <v>35</v>
      </c>
      <c r="B53" s="60" t="s">
        <v>612</v>
      </c>
      <c r="C53" s="79">
        <v>0</v>
      </c>
      <c r="D53" s="80"/>
      <c r="E53" s="79">
        <v>443.8</v>
      </c>
      <c r="F53" s="80"/>
      <c r="G53" s="79">
        <v>545.72</v>
      </c>
      <c r="H53" s="79"/>
      <c r="I53" s="79">
        <v>500</v>
      </c>
      <c r="J53" s="79"/>
      <c r="K53" s="79">
        <v>500</v>
      </c>
      <c r="L53" s="79"/>
      <c r="M53" s="79">
        <v>117.25</v>
      </c>
      <c r="N53" s="79"/>
      <c r="O53" s="79">
        <f t="shared" si="19"/>
        <v>0</v>
      </c>
      <c r="P53" s="79"/>
      <c r="Q53" s="79">
        <f>SUM(M53,O53)</f>
        <v>117.25</v>
      </c>
      <c r="R53" s="79"/>
      <c r="S53" s="79">
        <v>500</v>
      </c>
      <c r="T53" s="79"/>
      <c r="U53" s="79">
        <v>500</v>
      </c>
      <c r="V53" s="79"/>
      <c r="W53" s="79">
        <v>500</v>
      </c>
      <c r="X53" s="79"/>
      <c r="Y53" s="79">
        <f>SUM(W53,-I53)</f>
        <v>0</v>
      </c>
      <c r="Z53" s="62"/>
      <c r="AA53" s="63">
        <f>IF(W53=0,"N/A",PRODUCT(Y53,1/I53))</f>
        <v>0</v>
      </c>
      <c r="AB53" s="62"/>
      <c r="AC53" s="79">
        <f>SUM(W53,-Q53)</f>
        <v>382.75</v>
      </c>
      <c r="AD53" s="62"/>
      <c r="AE53" s="63">
        <f>IF(W53=0,"N/A",PRODUCT(AC53,1/Q53))</f>
        <v>3.2643923240938166</v>
      </c>
      <c r="AF53" s="57"/>
      <c r="AG53" s="57"/>
      <c r="AH53" s="57"/>
      <c r="AI53" s="57"/>
      <c r="AJ53" s="57"/>
    </row>
    <row r="54" spans="1:36" x14ac:dyDescent="0.2">
      <c r="A54" s="64" t="s">
        <v>1369</v>
      </c>
      <c r="C54" s="81">
        <f>SUM(C52:C53)</f>
        <v>0</v>
      </c>
      <c r="E54" s="81">
        <f>SUM(E52:E53)</f>
        <v>628.49</v>
      </c>
      <c r="F54" s="77"/>
      <c r="G54" s="81">
        <f>SUM(G52:G53)</f>
        <v>1470.66</v>
      </c>
      <c r="I54" s="81">
        <f>SUM(I52:I53)</f>
        <v>750</v>
      </c>
      <c r="K54" s="81">
        <f>SUM(K52:K53)</f>
        <v>750</v>
      </c>
      <c r="M54" s="81">
        <f>SUM(M52:M53)</f>
        <v>248.25</v>
      </c>
      <c r="O54" s="81">
        <f>SUM(O52:O53)</f>
        <v>0</v>
      </c>
      <c r="Q54" s="81">
        <f>SUM(Q52:Q53)</f>
        <v>248.25</v>
      </c>
      <c r="S54" s="81">
        <f>SUM(S52:S53)</f>
        <v>750</v>
      </c>
      <c r="U54" s="81">
        <f>SUM(U52:U53)</f>
        <v>750</v>
      </c>
      <c r="W54" s="81">
        <f>SUM(W52:W53)</f>
        <v>750</v>
      </c>
      <c r="Y54" s="81">
        <f>SUM(Y52:Y53)</f>
        <v>0</v>
      </c>
      <c r="Z54" s="57"/>
      <c r="AA54" s="65">
        <f>IF(W54=0,"N/A",PRODUCT(Y54,1/I54))</f>
        <v>0</v>
      </c>
      <c r="AB54" s="57"/>
      <c r="AC54" s="81">
        <f>SUM(AC52:AC53)</f>
        <v>501.75</v>
      </c>
      <c r="AD54" s="57"/>
      <c r="AE54" s="65">
        <f>IF(W54=0,"N/A",PRODUCT(AC54,1/Q54))</f>
        <v>2.0211480362537766</v>
      </c>
      <c r="AF54" s="57"/>
      <c r="AG54" s="57"/>
      <c r="AH54" s="57"/>
      <c r="AI54" s="57"/>
      <c r="AJ54" s="57"/>
    </row>
    <row r="55" spans="1:36" x14ac:dyDescent="0.2">
      <c r="Z55" s="57"/>
      <c r="AB55" s="57"/>
      <c r="AD55" s="57"/>
      <c r="AF55" s="57"/>
      <c r="AG55" s="57"/>
      <c r="AH55" s="57"/>
      <c r="AI55" s="57"/>
      <c r="AJ55" s="57"/>
    </row>
    <row r="56" spans="1:36" x14ac:dyDescent="0.2">
      <c r="A56" s="54" t="s">
        <v>1344</v>
      </c>
      <c r="Z56" s="57"/>
      <c r="AB56" s="57"/>
      <c r="AD56" s="57"/>
      <c r="AF56" s="57"/>
      <c r="AG56" s="57"/>
      <c r="AH56" s="57"/>
      <c r="AI56" s="57"/>
      <c r="AJ56" s="57"/>
    </row>
    <row r="57" spans="1:36" x14ac:dyDescent="0.2">
      <c r="A57" s="59" t="s">
        <v>36</v>
      </c>
      <c r="B57" s="60" t="s">
        <v>613</v>
      </c>
      <c r="C57" s="79">
        <v>46666.07</v>
      </c>
      <c r="D57" s="80"/>
      <c r="E57" s="79">
        <v>2819.86</v>
      </c>
      <c r="F57" s="80"/>
      <c r="G57" s="79">
        <v>10110.74</v>
      </c>
      <c r="H57" s="79"/>
      <c r="I57" s="79">
        <v>3500</v>
      </c>
      <c r="J57" s="79"/>
      <c r="K57" s="79">
        <v>18500</v>
      </c>
      <c r="L57" s="79"/>
      <c r="M57" s="79">
        <v>26858.79</v>
      </c>
      <c r="N57" s="79"/>
      <c r="O57" s="79">
        <f t="shared" ref="O57" si="20">PRODUCT(M57,0/12)</f>
        <v>0</v>
      </c>
      <c r="P57" s="79"/>
      <c r="Q57" s="79">
        <f>SUM(M57,O57)</f>
        <v>26858.79</v>
      </c>
      <c r="R57" s="79"/>
      <c r="S57" s="79">
        <v>20000</v>
      </c>
      <c r="T57" s="79"/>
      <c r="U57" s="79">
        <v>20000</v>
      </c>
      <c r="V57" s="79"/>
      <c r="W57" s="79">
        <v>20000</v>
      </c>
      <c r="X57" s="79"/>
      <c r="Y57" s="79">
        <f>SUM(W57,-I57)</f>
        <v>16500</v>
      </c>
      <c r="Z57" s="62"/>
      <c r="AA57" s="63">
        <f>IF(W57=0,"N/A",PRODUCT(Y57,1/I57))</f>
        <v>4.7142857142857144</v>
      </c>
      <c r="AB57" s="62"/>
      <c r="AC57" s="79">
        <f>SUM(W57,-Q57)</f>
        <v>-6858.7900000000009</v>
      </c>
      <c r="AD57" s="62"/>
      <c r="AE57" s="63">
        <f>IF(W57=0,"N/A",PRODUCT(AC57,1/Q57))</f>
        <v>-0.25536481725349508</v>
      </c>
      <c r="AF57" s="57"/>
      <c r="AG57" s="57"/>
      <c r="AH57" s="57"/>
      <c r="AI57" s="57"/>
      <c r="AJ57" s="57"/>
    </row>
    <row r="58" spans="1:36" x14ac:dyDescent="0.2">
      <c r="A58" s="64" t="s">
        <v>1345</v>
      </c>
      <c r="C58" s="81">
        <f>SUM(C57:C57)</f>
        <v>46666.07</v>
      </c>
      <c r="E58" s="81">
        <f>SUM(E57:E57)</f>
        <v>2819.86</v>
      </c>
      <c r="G58" s="81">
        <f>SUM(G57:G57)</f>
        <v>10110.74</v>
      </c>
      <c r="I58" s="81">
        <f>SUM(I57:I57)</f>
        <v>3500</v>
      </c>
      <c r="K58" s="81">
        <f>SUM(K57:K57)</f>
        <v>18500</v>
      </c>
      <c r="M58" s="81">
        <f>SUM(M57:M57)</f>
        <v>26858.79</v>
      </c>
      <c r="O58" s="81">
        <f>SUM(O57:O57)</f>
        <v>0</v>
      </c>
      <c r="Q58" s="81">
        <f>SUM(Q57:Q57)</f>
        <v>26858.79</v>
      </c>
      <c r="S58" s="81">
        <f>SUM(S57:S57)</f>
        <v>20000</v>
      </c>
      <c r="U58" s="81">
        <f>SUM(U57:U57)</f>
        <v>20000</v>
      </c>
      <c r="W58" s="81">
        <f>SUM(W57:W57)</f>
        <v>20000</v>
      </c>
      <c r="Y58" s="81">
        <f>SUM(Y57:Y57)</f>
        <v>16500</v>
      </c>
      <c r="Z58" s="57"/>
      <c r="AA58" s="65">
        <f>IF(W58=0,"N/A",PRODUCT(Y58,1/I58))</f>
        <v>4.7142857142857144</v>
      </c>
      <c r="AB58" s="57"/>
      <c r="AC58" s="81">
        <f>SUM(AC57:AC57)</f>
        <v>-6858.7900000000009</v>
      </c>
      <c r="AD58" s="57"/>
      <c r="AE58" s="65">
        <f>IF(W58=0,"N/A",PRODUCT(AC58,1/Q58))</f>
        <v>-0.25536481725349508</v>
      </c>
      <c r="AF58" s="57"/>
      <c r="AG58" s="57"/>
      <c r="AH58" s="57"/>
      <c r="AI58" s="57"/>
      <c r="AJ58" s="57"/>
    </row>
    <row r="59" spans="1:36" x14ac:dyDescent="0.2">
      <c r="Z59" s="57"/>
      <c r="AB59" s="57"/>
      <c r="AD59" s="57"/>
      <c r="AF59" s="57"/>
      <c r="AG59" s="57"/>
      <c r="AH59" s="57"/>
      <c r="AI59" s="57"/>
      <c r="AJ59" s="57"/>
    </row>
    <row r="60" spans="1:36" x14ac:dyDescent="0.2">
      <c r="A60" s="54" t="s">
        <v>1346</v>
      </c>
      <c r="Z60" s="57"/>
      <c r="AB60" s="57"/>
      <c r="AD60" s="57"/>
      <c r="AF60" s="57"/>
      <c r="AG60" s="57"/>
      <c r="AH60" s="57"/>
      <c r="AI60" s="57"/>
      <c r="AJ60" s="57"/>
    </row>
    <row r="61" spans="1:36" x14ac:dyDescent="0.2">
      <c r="A61" s="55" t="s">
        <v>1377</v>
      </c>
      <c r="B61" s="56" t="s">
        <v>1378</v>
      </c>
      <c r="C61" s="77">
        <v>0</v>
      </c>
      <c r="E61" s="77">
        <v>0</v>
      </c>
      <c r="G61" s="77">
        <v>0</v>
      </c>
      <c r="I61" s="77">
        <v>0</v>
      </c>
      <c r="K61" s="77">
        <v>0</v>
      </c>
      <c r="M61" s="77">
        <v>0</v>
      </c>
      <c r="O61" s="77">
        <f t="shared" ref="O61:O62" si="21">PRODUCT(M61,0/12)</f>
        <v>0</v>
      </c>
      <c r="Q61" s="77">
        <f>SUM(M61,O61)</f>
        <v>0</v>
      </c>
      <c r="S61" s="77">
        <v>303000</v>
      </c>
      <c r="U61" s="77">
        <v>303000</v>
      </c>
      <c r="W61" s="77">
        <v>328000</v>
      </c>
      <c r="Y61" s="77">
        <f>SUM(W61,-I61)</f>
        <v>328000</v>
      </c>
      <c r="Z61" s="57"/>
      <c r="AA61" s="58" t="e">
        <f>IF(W61=0,"N/A",PRODUCT(Y61,1/I61))</f>
        <v>#DIV/0!</v>
      </c>
      <c r="AB61" s="57"/>
      <c r="AC61" s="77">
        <f>SUM(W61,-Q61)</f>
        <v>328000</v>
      </c>
      <c r="AD61" s="57"/>
      <c r="AE61" s="58" t="e">
        <f>IF(W61=0,"N/A",PRODUCT(AC61,1/Q61))</f>
        <v>#DIV/0!</v>
      </c>
      <c r="AF61" s="57"/>
      <c r="AG61" s="57"/>
      <c r="AH61" s="57"/>
      <c r="AI61" s="57"/>
      <c r="AJ61" s="57"/>
    </row>
    <row r="62" spans="1:36" x14ac:dyDescent="0.2">
      <c r="A62" s="59" t="s">
        <v>1411</v>
      </c>
      <c r="B62" s="60" t="s">
        <v>1136</v>
      </c>
      <c r="C62" s="79">
        <v>0</v>
      </c>
      <c r="D62" s="80"/>
      <c r="E62" s="79">
        <v>0</v>
      </c>
      <c r="F62" s="80"/>
      <c r="G62" s="79">
        <v>0</v>
      </c>
      <c r="H62" s="79"/>
      <c r="I62" s="79">
        <v>0</v>
      </c>
      <c r="J62" s="79"/>
      <c r="K62" s="79">
        <v>0</v>
      </c>
      <c r="L62" s="79"/>
      <c r="M62" s="79">
        <v>0</v>
      </c>
      <c r="N62" s="79"/>
      <c r="O62" s="79">
        <f t="shared" si="21"/>
        <v>0</v>
      </c>
      <c r="P62" s="79"/>
      <c r="Q62" s="79">
        <f>SUM(M62,O62)</f>
        <v>0</v>
      </c>
      <c r="R62" s="79"/>
      <c r="S62" s="79">
        <v>0</v>
      </c>
      <c r="T62" s="79"/>
      <c r="U62" s="79">
        <v>0</v>
      </c>
      <c r="V62" s="79"/>
      <c r="W62" s="79">
        <v>4500000</v>
      </c>
      <c r="X62" s="79"/>
      <c r="Y62" s="79">
        <f>SUM(W62,-I62)</f>
        <v>4500000</v>
      </c>
      <c r="Z62" s="62"/>
      <c r="AA62" s="63" t="e">
        <f>IF(W62=0,"N/A",PRODUCT(Y62,1/I62))</f>
        <v>#DIV/0!</v>
      </c>
      <c r="AB62" s="62"/>
      <c r="AC62" s="79">
        <f>SUM(W62,-Q62)</f>
        <v>4500000</v>
      </c>
      <c r="AD62" s="62"/>
      <c r="AE62" s="63" t="e">
        <f>IF(W62=0,"N/A",PRODUCT(AC62,1/Q62))</f>
        <v>#DIV/0!</v>
      </c>
      <c r="AF62" s="57"/>
      <c r="AG62" s="57"/>
      <c r="AH62" s="57"/>
      <c r="AI62" s="57"/>
      <c r="AJ62" s="57"/>
    </row>
    <row r="63" spans="1:36" x14ac:dyDescent="0.2">
      <c r="A63" s="64" t="s">
        <v>1347</v>
      </c>
      <c r="C63" s="81">
        <f>SUM(C61:C62)</f>
        <v>0</v>
      </c>
      <c r="E63" s="81">
        <f>SUM(E61:E62)</f>
        <v>0</v>
      </c>
      <c r="G63" s="81">
        <f>SUM(G61:G62)</f>
        <v>0</v>
      </c>
      <c r="I63" s="81">
        <f>SUM(I61:I62)</f>
        <v>0</v>
      </c>
      <c r="K63" s="81">
        <f>SUM(K61:K62)</f>
        <v>0</v>
      </c>
      <c r="M63" s="81">
        <f>SUM(M61:M62)</f>
        <v>0</v>
      </c>
      <c r="O63" s="81">
        <f>SUM(O61:O62)</f>
        <v>0</v>
      </c>
      <c r="Q63" s="81">
        <f>SUM(Q61:Q62)</f>
        <v>0</v>
      </c>
      <c r="S63" s="81">
        <f>SUM(S61:S62)</f>
        <v>303000</v>
      </c>
      <c r="U63" s="81">
        <f>SUM(U61:U62)</f>
        <v>303000</v>
      </c>
      <c r="W63" s="81">
        <f>SUM(W61:W62)</f>
        <v>4828000</v>
      </c>
      <c r="Y63" s="81">
        <f>SUM(Y61:Y62)</f>
        <v>4828000</v>
      </c>
      <c r="Z63" s="57"/>
      <c r="AA63" s="65" t="e">
        <f>IF(W63=0,"N/A",PRODUCT(Y63,1/I63))</f>
        <v>#DIV/0!</v>
      </c>
      <c r="AB63" s="57"/>
      <c r="AC63" s="81">
        <f>SUM(AC61:AC62)</f>
        <v>4828000</v>
      </c>
      <c r="AD63" s="57"/>
      <c r="AE63" s="65" t="e">
        <f>IF(W63=0,"N/A",PRODUCT(AC63,1/Q63))</f>
        <v>#DIV/0!</v>
      </c>
      <c r="AF63" s="57"/>
      <c r="AG63" s="57"/>
      <c r="AH63" s="57"/>
      <c r="AI63" s="57"/>
      <c r="AJ63" s="57"/>
    </row>
    <row r="64" spans="1:36" x14ac:dyDescent="0.2">
      <c r="Z64" s="57"/>
      <c r="AB64" s="57"/>
      <c r="AD64" s="57"/>
      <c r="AF64" s="57"/>
      <c r="AG64" s="57"/>
      <c r="AH64" s="57"/>
      <c r="AI64" s="57"/>
      <c r="AJ64" s="57"/>
    </row>
    <row r="65" spans="1:36" ht="13.5" thickBot="1" x14ac:dyDescent="0.25">
      <c r="A65" s="67" t="s">
        <v>37</v>
      </c>
      <c r="C65" s="83">
        <f>SUM(C19,C32,C42,C49,C54,C58,C63)</f>
        <v>9912082.2100000009</v>
      </c>
      <c r="E65" s="83">
        <f>SUM(E19,E32,E42,E49,E54,E58,E63)</f>
        <v>11674961.049999999</v>
      </c>
      <c r="G65" s="83">
        <f>SUM(G19,G32,G42,G49,G54,G58,G63)</f>
        <v>12940962.41</v>
      </c>
      <c r="I65" s="83">
        <f>SUM(I19,I32,I42,I49,I54,I58,I63)</f>
        <v>12481150</v>
      </c>
      <c r="K65" s="83">
        <f>SUM(K19,K32,K42,K49,K54,K58,K63)</f>
        <v>12496150</v>
      </c>
      <c r="M65" s="82">
        <f>SUM(M19,M32,M42,M49,M54,M58,M63)</f>
        <v>12656446.880000001</v>
      </c>
      <c r="O65" s="82">
        <f>SUM(O19,O32,O42,O49,O54,O58,O63)</f>
        <v>0</v>
      </c>
      <c r="Q65" s="83">
        <f>SUM(Q19,Q32,Q42,Q49,Q54,Q58,Q63)</f>
        <v>12656446.880000001</v>
      </c>
      <c r="S65" s="82">
        <f>SUM(S19,S32,S42,S49,S54,S58,S63)</f>
        <v>13109250</v>
      </c>
      <c r="U65" s="82">
        <f>SUM(U19,U32,U42,U49,U54,U58,U63)</f>
        <v>13489250</v>
      </c>
      <c r="W65" s="83">
        <f>SUM(W19,W32,W42,W49,W54,W58,W63)</f>
        <v>17955150</v>
      </c>
      <c r="Y65" s="82">
        <f>SUM(Y19,Y32,Y42,Y49,Y54,Y58,Y63)</f>
        <v>5474000</v>
      </c>
      <c r="Z65" s="57"/>
      <c r="AA65" s="125">
        <f>IF(W65=0,"N/A",PRODUCT(Y65,1/I65))</f>
        <v>0.43858138072212899</v>
      </c>
      <c r="AB65" s="57"/>
      <c r="AC65" s="82">
        <f>SUM(AC19,AC32,AC42,AC49,AC54,AC58,AC63)</f>
        <v>5298703.12</v>
      </c>
      <c r="AD65" s="57"/>
      <c r="AE65" s="125">
        <f>IF(W65=0,"N/A",PRODUCT(AC65,1/Q65))</f>
        <v>0.41865644996883988</v>
      </c>
      <c r="AF65" s="57"/>
      <c r="AG65" s="57"/>
      <c r="AH65" s="57"/>
      <c r="AI65" s="57"/>
      <c r="AJ65" s="57"/>
    </row>
    <row r="66" spans="1:36" ht="13.5" thickTop="1" x14ac:dyDescent="0.2">
      <c r="Z66" s="57"/>
      <c r="AB66" s="57"/>
      <c r="AD66" s="57"/>
      <c r="AF66" s="57"/>
      <c r="AG66" s="57"/>
      <c r="AH66" s="57"/>
      <c r="AI66" s="57"/>
      <c r="AJ66" s="57"/>
    </row>
    <row r="67" spans="1:36" x14ac:dyDescent="0.2">
      <c r="Z67" s="57"/>
      <c r="AB67" s="57"/>
      <c r="AD67" s="57"/>
      <c r="AF67" s="57"/>
      <c r="AG67" s="57"/>
      <c r="AH67" s="57"/>
      <c r="AI67" s="57"/>
      <c r="AJ67" s="57"/>
    </row>
    <row r="68" spans="1:36" x14ac:dyDescent="0.2">
      <c r="Z68" s="57"/>
      <c r="AB68" s="57"/>
      <c r="AD68" s="57"/>
      <c r="AF68" s="57"/>
      <c r="AG68" s="57"/>
      <c r="AH68" s="57"/>
      <c r="AI68" s="57"/>
      <c r="AJ68" s="57"/>
    </row>
    <row r="69" spans="1:36" x14ac:dyDescent="0.2">
      <c r="Z69" s="57"/>
      <c r="AB69" s="57"/>
      <c r="AD69" s="57"/>
      <c r="AF69" s="57"/>
      <c r="AG69" s="57"/>
      <c r="AH69" s="57"/>
      <c r="AI69" s="57"/>
      <c r="AJ69" s="57"/>
    </row>
    <row r="70" spans="1:36" x14ac:dyDescent="0.2">
      <c r="Z70" s="57"/>
      <c r="AB70" s="57"/>
      <c r="AD70" s="57"/>
      <c r="AF70" s="57"/>
      <c r="AG70" s="57"/>
      <c r="AH70" s="57"/>
      <c r="AI70" s="57"/>
      <c r="AJ70" s="57"/>
    </row>
    <row r="71" spans="1:36" x14ac:dyDescent="0.2">
      <c r="Z71" s="57"/>
      <c r="AB71" s="57"/>
      <c r="AD71" s="57"/>
      <c r="AF71" s="57"/>
      <c r="AG71" s="57"/>
      <c r="AH71" s="57"/>
      <c r="AI71" s="57"/>
      <c r="AJ71" s="57"/>
    </row>
    <row r="72" spans="1:36" x14ac:dyDescent="0.2">
      <c r="Z72" s="57"/>
      <c r="AB72" s="57"/>
      <c r="AD72" s="57"/>
      <c r="AF72" s="57"/>
      <c r="AG72" s="57"/>
      <c r="AH72" s="57"/>
      <c r="AI72" s="57"/>
      <c r="AJ72" s="57"/>
    </row>
    <row r="73" spans="1:36" x14ac:dyDescent="0.2">
      <c r="Z73" s="57"/>
      <c r="AB73" s="57"/>
      <c r="AD73" s="57"/>
      <c r="AF73" s="57"/>
      <c r="AG73" s="57"/>
      <c r="AH73" s="57"/>
      <c r="AI73" s="57"/>
      <c r="AJ73" s="57"/>
    </row>
    <row r="74" spans="1:36" x14ac:dyDescent="0.2">
      <c r="Z74" s="57"/>
      <c r="AB74" s="57"/>
      <c r="AD74" s="57"/>
      <c r="AF74" s="57"/>
      <c r="AG74" s="57"/>
      <c r="AH74" s="57"/>
      <c r="AI74" s="57"/>
      <c r="AJ74" s="57"/>
    </row>
    <row r="75" spans="1:36" x14ac:dyDescent="0.2">
      <c r="Z75" s="57"/>
      <c r="AB75" s="57"/>
      <c r="AD75" s="57"/>
      <c r="AF75" s="57"/>
      <c r="AG75" s="57"/>
      <c r="AH75" s="57"/>
      <c r="AI75" s="57"/>
      <c r="AJ75" s="57"/>
    </row>
    <row r="76" spans="1:36" x14ac:dyDescent="0.2">
      <c r="Z76" s="57"/>
      <c r="AB76" s="57"/>
      <c r="AD76" s="57"/>
      <c r="AF76" s="57"/>
      <c r="AG76" s="57"/>
      <c r="AH76" s="57"/>
      <c r="AI76" s="57"/>
      <c r="AJ76" s="57"/>
    </row>
    <row r="77" spans="1:36" x14ac:dyDescent="0.2">
      <c r="Z77" s="57"/>
      <c r="AB77" s="57"/>
      <c r="AD77" s="57"/>
      <c r="AF77" s="57"/>
      <c r="AG77" s="57"/>
      <c r="AH77" s="57"/>
      <c r="AI77" s="57"/>
      <c r="AJ77" s="57"/>
    </row>
    <row r="78" spans="1:36" x14ac:dyDescent="0.2">
      <c r="Z78" s="57"/>
      <c r="AB78" s="57"/>
      <c r="AD78" s="57"/>
      <c r="AF78" s="57"/>
      <c r="AG78" s="57"/>
      <c r="AH78" s="57"/>
      <c r="AI78" s="57"/>
      <c r="AJ78" s="57"/>
    </row>
    <row r="79" spans="1:36" x14ac:dyDescent="0.2">
      <c r="Z79" s="57"/>
      <c r="AB79" s="57"/>
      <c r="AD79" s="57"/>
      <c r="AF79" s="57"/>
      <c r="AG79" s="57"/>
      <c r="AH79" s="57"/>
      <c r="AI79" s="57"/>
      <c r="AJ79" s="57"/>
    </row>
    <row r="80" spans="1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G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G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G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G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G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G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G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G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G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G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G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G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G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G113" s="57"/>
      <c r="AH113" s="57"/>
      <c r="AI113" s="57"/>
      <c r="AJ113" s="57"/>
    </row>
    <row r="114" spans="26:36" x14ac:dyDescent="0.2">
      <c r="Z114" s="57"/>
      <c r="AB114" s="57"/>
      <c r="AD114" s="57"/>
      <c r="AF114" s="57"/>
      <c r="AG114" s="57"/>
      <c r="AH114" s="57"/>
      <c r="AI114" s="57"/>
      <c r="AJ114" s="57"/>
    </row>
    <row r="115" spans="26:36" x14ac:dyDescent="0.2">
      <c r="Z115" s="57"/>
      <c r="AB115" s="57"/>
      <c r="AD115" s="57"/>
      <c r="AF115" s="57"/>
      <c r="AG115" s="57"/>
      <c r="AH115" s="57"/>
      <c r="AI115" s="57"/>
      <c r="AJ115" s="57"/>
    </row>
    <row r="116" spans="26:36" x14ac:dyDescent="0.2">
      <c r="Z116" s="57"/>
      <c r="AB116" s="57"/>
      <c r="AD116" s="57"/>
      <c r="AF116" s="57"/>
      <c r="AG116" s="57"/>
      <c r="AH116" s="57"/>
      <c r="AI116" s="57"/>
      <c r="AJ116" s="57"/>
    </row>
    <row r="117" spans="26:36" x14ac:dyDescent="0.2">
      <c r="Z117" s="57"/>
      <c r="AB117" s="57"/>
      <c r="AD117" s="57"/>
      <c r="AF117" s="57"/>
      <c r="AG117" s="57"/>
      <c r="AH117" s="57"/>
      <c r="AI117" s="57"/>
      <c r="AJ117" s="57"/>
    </row>
    <row r="118" spans="26:36" x14ac:dyDescent="0.2">
      <c r="Z118" s="57"/>
      <c r="AB118" s="57"/>
      <c r="AD118" s="57"/>
      <c r="AF118" s="57"/>
      <c r="AG118" s="57"/>
      <c r="AH118" s="57"/>
      <c r="AI118" s="57"/>
      <c r="AJ118" s="57"/>
    </row>
    <row r="119" spans="26:36" x14ac:dyDescent="0.2">
      <c r="Z119" s="57"/>
      <c r="AB119" s="57"/>
      <c r="AD119" s="57"/>
      <c r="AF119" s="57"/>
      <c r="AG119" s="57"/>
      <c r="AH119" s="57"/>
      <c r="AI119" s="57"/>
      <c r="AJ119" s="57"/>
    </row>
    <row r="120" spans="26:36" x14ac:dyDescent="0.2">
      <c r="Z120" s="57"/>
      <c r="AB120" s="57"/>
      <c r="AD120" s="57"/>
      <c r="AF120" s="57"/>
      <c r="AG120" s="57"/>
      <c r="AH120" s="57"/>
      <c r="AI120" s="57"/>
      <c r="AJ120" s="57"/>
    </row>
    <row r="121" spans="26:36" x14ac:dyDescent="0.2">
      <c r="Z121" s="57"/>
      <c r="AB121" s="57"/>
      <c r="AD121" s="57"/>
      <c r="AF121" s="57"/>
      <c r="AG121" s="57"/>
      <c r="AH121" s="57"/>
      <c r="AI121" s="57"/>
      <c r="AJ121" s="57"/>
    </row>
    <row r="122" spans="26:36" x14ac:dyDescent="0.2">
      <c r="Z122" s="57"/>
      <c r="AB122" s="57"/>
      <c r="AD122" s="57"/>
      <c r="AF122" s="57"/>
      <c r="AG122" s="57"/>
      <c r="AH122" s="57"/>
      <c r="AI122" s="57"/>
      <c r="AJ122" s="57"/>
    </row>
    <row r="123" spans="26:36" x14ac:dyDescent="0.2">
      <c r="Z123" s="57"/>
      <c r="AB123" s="57"/>
      <c r="AD123" s="57"/>
      <c r="AF123" s="57"/>
      <c r="AG123" s="57"/>
      <c r="AH123" s="57"/>
      <c r="AI123" s="57"/>
      <c r="AJ123" s="57"/>
    </row>
    <row r="124" spans="26:36" x14ac:dyDescent="0.2">
      <c r="Z124" s="57"/>
      <c r="AB124" s="57"/>
      <c r="AD124" s="57"/>
      <c r="AF124" s="57"/>
      <c r="AG124" s="57"/>
      <c r="AH124" s="57"/>
      <c r="AI124" s="57"/>
      <c r="AJ124" s="57"/>
    </row>
    <row r="125" spans="26:36" x14ac:dyDescent="0.2">
      <c r="Z125" s="57"/>
      <c r="AB125" s="57"/>
      <c r="AD125" s="57"/>
      <c r="AF125" s="57"/>
      <c r="AG125" s="57"/>
      <c r="AH125" s="57"/>
      <c r="AI125" s="57"/>
      <c r="AJ125" s="57"/>
    </row>
    <row r="126" spans="26:36" x14ac:dyDescent="0.2">
      <c r="Z126" s="57"/>
      <c r="AB126" s="57"/>
      <c r="AD126" s="57"/>
      <c r="AF126" s="57"/>
      <c r="AG126" s="57"/>
      <c r="AH126" s="57"/>
      <c r="AI126" s="57"/>
      <c r="AJ126" s="57"/>
    </row>
    <row r="127" spans="26:36" x14ac:dyDescent="0.2">
      <c r="Z127" s="57"/>
      <c r="AB127" s="57"/>
      <c r="AD127" s="57"/>
      <c r="AF127" s="57"/>
      <c r="AG127" s="57"/>
      <c r="AH127" s="57"/>
      <c r="AI127" s="57"/>
      <c r="AJ127" s="57"/>
    </row>
    <row r="128" spans="26:36" x14ac:dyDescent="0.2">
      <c r="Z128" s="57"/>
      <c r="AB128" s="57"/>
      <c r="AD128" s="57"/>
      <c r="AF128" s="57"/>
      <c r="AG128" s="57"/>
      <c r="AH128" s="57"/>
      <c r="AI128" s="57"/>
      <c r="AJ128" s="57"/>
    </row>
    <row r="129" spans="26:36" x14ac:dyDescent="0.2">
      <c r="Z129" s="57"/>
      <c r="AB129" s="57"/>
      <c r="AD129" s="57"/>
      <c r="AF129" s="57"/>
      <c r="AG129" s="57"/>
      <c r="AH129" s="57"/>
      <c r="AI129" s="57"/>
      <c r="AJ129" s="57"/>
    </row>
    <row r="130" spans="26:36" x14ac:dyDescent="0.2">
      <c r="Z130" s="57"/>
      <c r="AB130" s="57"/>
      <c r="AD130" s="57"/>
      <c r="AF130" s="57"/>
      <c r="AG130" s="57"/>
      <c r="AH130" s="57"/>
      <c r="AI130" s="57"/>
      <c r="AJ130" s="57"/>
    </row>
    <row r="131" spans="26:36" x14ac:dyDescent="0.2">
      <c r="Z131" s="57"/>
      <c r="AB131" s="57"/>
      <c r="AD131" s="57"/>
      <c r="AF131" s="57"/>
      <c r="AG131" s="57"/>
      <c r="AH131" s="57"/>
      <c r="AI131" s="57"/>
      <c r="AJ131" s="57"/>
    </row>
    <row r="132" spans="26:36" x14ac:dyDescent="0.2">
      <c r="Z132" s="57"/>
      <c r="AB132" s="57"/>
      <c r="AD132" s="57"/>
      <c r="AF132" s="57"/>
      <c r="AG132" s="57"/>
      <c r="AH132" s="57"/>
      <c r="AI132" s="57"/>
      <c r="AJ132" s="57"/>
    </row>
    <row r="133" spans="26:36" x14ac:dyDescent="0.2">
      <c r="Z133" s="57"/>
      <c r="AB133" s="57"/>
      <c r="AD133" s="57"/>
      <c r="AF133" s="57"/>
      <c r="AG133" s="57"/>
      <c r="AH133" s="57"/>
      <c r="AI133" s="57"/>
      <c r="AJ133" s="57"/>
    </row>
  </sheetData>
  <pageMargins left="0.25" right="0.25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3C81-12F8-47FC-8115-15C64DA65DB8}">
  <sheetPr>
    <tabColor rgb="FF92D050"/>
  </sheetPr>
  <dimension ref="A1:AJ126"/>
  <sheetViews>
    <sheetView showGridLines="0" zoomScaleNormal="100" workbookViewId="0">
      <pane xSplit="2" ySplit="3" topLeftCell="N4" activePane="bottomRight" state="frozen"/>
      <selection activeCell="AG18" sqref="AG1:AG1048576"/>
      <selection pane="topRight" activeCell="AG18" sqref="AG1:AG1048576"/>
      <selection pane="bottomLeft" activeCell="AG18" sqref="AG1:AG1048576"/>
      <selection pane="bottomRight" activeCell="AG17" sqref="AG17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87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9" t="s">
        <v>39</v>
      </c>
      <c r="B6" s="60" t="s">
        <v>219</v>
      </c>
      <c r="C6" s="79">
        <v>497175.28</v>
      </c>
      <c r="D6" s="80"/>
      <c r="E6" s="79">
        <v>535540.43000000005</v>
      </c>
      <c r="F6" s="80"/>
      <c r="G6" s="79">
        <v>494866.75</v>
      </c>
      <c r="H6" s="79"/>
      <c r="I6" s="79">
        <v>581700</v>
      </c>
      <c r="J6" s="79"/>
      <c r="K6" s="79">
        <v>581200</v>
      </c>
      <c r="L6" s="79"/>
      <c r="M6" s="79">
        <v>524767.18999999994</v>
      </c>
      <c r="N6" s="79"/>
      <c r="O6" s="79">
        <f>PRODUCT(M6,0/12)</f>
        <v>0</v>
      </c>
      <c r="P6" s="79"/>
      <c r="Q6" s="79">
        <f t="shared" ref="Q6:Q12" si="0">SUM(M6,O6)</f>
        <v>524767.18999999994</v>
      </c>
      <c r="R6" s="79"/>
      <c r="S6" s="79">
        <v>645000</v>
      </c>
      <c r="T6" s="79"/>
      <c r="U6" s="79">
        <v>585000</v>
      </c>
      <c r="V6" s="79"/>
      <c r="W6" s="79">
        <v>645000</v>
      </c>
      <c r="X6" s="79"/>
      <c r="Y6" s="79">
        <f t="shared" ref="Y6:Y12" si="1">SUM(W6,-I6)</f>
        <v>63300</v>
      </c>
      <c r="Z6" s="62"/>
      <c r="AA6" s="63">
        <f>IF(W6=0,"N/A",PRODUCT(Y6,1/I6))</f>
        <v>0.10881897885507995</v>
      </c>
      <c r="AB6" s="62"/>
      <c r="AC6" s="79">
        <f>SUM(W6,-Q6)</f>
        <v>120232.81000000006</v>
      </c>
      <c r="AD6" s="62"/>
      <c r="AE6" s="63">
        <f>IF(W6=0,"N/A",PRODUCT(AC6,1/Q6))</f>
        <v>0.22911647734684035</v>
      </c>
      <c r="AF6" s="57"/>
      <c r="AG6" s="57" t="s">
        <v>1001</v>
      </c>
      <c r="AH6" s="57"/>
      <c r="AI6" s="57"/>
      <c r="AJ6" s="57"/>
    </row>
    <row r="7" spans="1:36" x14ac:dyDescent="0.2">
      <c r="A7" s="55" t="s">
        <v>40</v>
      </c>
      <c r="B7" s="56" t="s">
        <v>220</v>
      </c>
      <c r="C7" s="77">
        <v>3910.97</v>
      </c>
      <c r="E7" s="77">
        <v>7330.65</v>
      </c>
      <c r="G7" s="77">
        <v>3778.77</v>
      </c>
      <c r="I7" s="77">
        <v>2500</v>
      </c>
      <c r="K7" s="77">
        <v>2500</v>
      </c>
      <c r="M7" s="77">
        <v>1480.87</v>
      </c>
      <c r="O7" s="77">
        <f>PRODUCT(M7,0/12)</f>
        <v>0</v>
      </c>
      <c r="Q7" s="77">
        <f t="shared" si="0"/>
        <v>1480.87</v>
      </c>
      <c r="S7" s="77">
        <v>3000</v>
      </c>
      <c r="U7" s="77">
        <v>2500</v>
      </c>
      <c r="W7" s="77">
        <v>2500</v>
      </c>
      <c r="Y7" s="77">
        <f t="shared" si="1"/>
        <v>0</v>
      </c>
      <c r="Z7" s="57"/>
      <c r="AA7" s="58">
        <f t="shared" ref="AA7:AA13" si="2">IF(W7=0,"N/A",PRODUCT(Y7,1/I7))</f>
        <v>0</v>
      </c>
      <c r="AB7" s="57"/>
      <c r="AC7" s="77">
        <f t="shared" ref="AC7:AC12" si="3">SUM(W7,-Q7)</f>
        <v>1019.1300000000001</v>
      </c>
      <c r="AD7" s="57"/>
      <c r="AE7" s="58">
        <f t="shared" ref="AE7:AE13" si="4">IF(W7=0,"N/A",PRODUCT(AC7,1/Q7))</f>
        <v>0.68819680323053356</v>
      </c>
      <c r="AF7" s="57"/>
      <c r="AG7" s="57" t="s">
        <v>1033</v>
      </c>
      <c r="AH7" s="57"/>
      <c r="AI7" s="57"/>
      <c r="AJ7" s="57"/>
    </row>
    <row r="8" spans="1:36" x14ac:dyDescent="0.2">
      <c r="A8" s="59" t="s">
        <v>41</v>
      </c>
      <c r="B8" s="60" t="s">
        <v>286</v>
      </c>
      <c r="C8" s="79">
        <v>35633.68</v>
      </c>
      <c r="D8" s="80"/>
      <c r="E8" s="79">
        <v>41616.79</v>
      </c>
      <c r="F8" s="80"/>
      <c r="G8" s="79">
        <v>36780.33</v>
      </c>
      <c r="H8" s="79"/>
      <c r="I8" s="79">
        <v>44700</v>
      </c>
      <c r="J8" s="79"/>
      <c r="K8" s="79">
        <v>44700</v>
      </c>
      <c r="L8" s="79"/>
      <c r="M8" s="79">
        <v>37978.6</v>
      </c>
      <c r="N8" s="79"/>
      <c r="O8" s="79">
        <f>PRODUCT(M8,0/12)</f>
        <v>0</v>
      </c>
      <c r="P8" s="79"/>
      <c r="Q8" s="79">
        <f t="shared" si="0"/>
        <v>37978.6</v>
      </c>
      <c r="R8" s="79"/>
      <c r="S8" s="79">
        <v>50000</v>
      </c>
      <c r="T8" s="79"/>
      <c r="U8" s="79">
        <v>45000</v>
      </c>
      <c r="V8" s="79"/>
      <c r="W8" s="79">
        <v>50000</v>
      </c>
      <c r="X8" s="79"/>
      <c r="Y8" s="79">
        <f t="shared" si="1"/>
        <v>5300</v>
      </c>
      <c r="Z8" s="62"/>
      <c r="AA8" s="63">
        <f t="shared" si="2"/>
        <v>0.11856823266219239</v>
      </c>
      <c r="AB8" s="62"/>
      <c r="AC8" s="79">
        <f t="shared" si="3"/>
        <v>12021.400000000001</v>
      </c>
      <c r="AD8" s="62"/>
      <c r="AE8" s="63">
        <f t="shared" si="4"/>
        <v>0.31653088844770483</v>
      </c>
      <c r="AF8" s="57"/>
      <c r="AG8" s="57"/>
      <c r="AH8" s="57"/>
      <c r="AI8" s="57"/>
      <c r="AJ8" s="57"/>
    </row>
    <row r="9" spans="1:36" x14ac:dyDescent="0.2">
      <c r="A9" s="55" t="s">
        <v>42</v>
      </c>
      <c r="B9" s="56" t="s">
        <v>221</v>
      </c>
      <c r="C9" s="77">
        <v>96192.11</v>
      </c>
      <c r="E9" s="77">
        <v>100895.56</v>
      </c>
      <c r="G9" s="77">
        <v>103185.93</v>
      </c>
      <c r="I9" s="77">
        <v>99500</v>
      </c>
      <c r="K9" s="77">
        <v>99500</v>
      </c>
      <c r="M9" s="77">
        <v>95642.9</v>
      </c>
      <c r="O9" s="77">
        <f>PRODUCT(M9,0/12)</f>
        <v>0</v>
      </c>
      <c r="Q9" s="77">
        <f t="shared" si="0"/>
        <v>95642.9</v>
      </c>
      <c r="S9" s="77">
        <v>110000</v>
      </c>
      <c r="U9" s="77">
        <v>105000</v>
      </c>
      <c r="W9" s="77">
        <v>110000</v>
      </c>
      <c r="Y9" s="77">
        <f t="shared" si="1"/>
        <v>10500</v>
      </c>
      <c r="Z9" s="57"/>
      <c r="AA9" s="58">
        <f t="shared" si="2"/>
        <v>0.10552763819095477</v>
      </c>
      <c r="AB9" s="57"/>
      <c r="AC9" s="77">
        <f t="shared" si="3"/>
        <v>14357.100000000006</v>
      </c>
      <c r="AD9" s="57"/>
      <c r="AE9" s="58">
        <f t="shared" si="4"/>
        <v>0.15011150853853247</v>
      </c>
      <c r="AF9" s="57"/>
      <c r="AG9" s="57"/>
      <c r="AH9" s="57"/>
      <c r="AI9" s="57"/>
      <c r="AJ9" s="57"/>
    </row>
    <row r="10" spans="1:36" x14ac:dyDescent="0.2">
      <c r="A10" s="59" t="s">
        <v>43</v>
      </c>
      <c r="B10" s="60" t="s">
        <v>400</v>
      </c>
      <c r="C10" s="79">
        <v>32162.22</v>
      </c>
      <c r="D10" s="80"/>
      <c r="E10" s="79">
        <v>35367.279999999999</v>
      </c>
      <c r="F10" s="80"/>
      <c r="G10" s="79">
        <v>33737.86</v>
      </c>
      <c r="H10" s="79"/>
      <c r="I10" s="79">
        <v>9300</v>
      </c>
      <c r="J10" s="79"/>
      <c r="K10" s="79">
        <v>9300</v>
      </c>
      <c r="L10" s="79"/>
      <c r="M10" s="79">
        <v>5615.5</v>
      </c>
      <c r="N10" s="79"/>
      <c r="O10" s="79">
        <v>0</v>
      </c>
      <c r="P10" s="79"/>
      <c r="Q10" s="79">
        <f t="shared" si="0"/>
        <v>5615.5</v>
      </c>
      <c r="R10" s="79"/>
      <c r="S10" s="79">
        <v>0</v>
      </c>
      <c r="T10" s="79"/>
      <c r="U10" s="79"/>
      <c r="V10" s="79"/>
      <c r="W10" s="79">
        <v>0</v>
      </c>
      <c r="X10" s="79"/>
      <c r="Y10" s="79">
        <f t="shared" si="1"/>
        <v>-9300</v>
      </c>
      <c r="Z10" s="62"/>
      <c r="AA10" s="63" t="str">
        <f t="shared" si="2"/>
        <v>N/A</v>
      </c>
      <c r="AB10" s="62"/>
      <c r="AC10" s="79">
        <f t="shared" si="3"/>
        <v>-5615.5</v>
      </c>
      <c r="AD10" s="62"/>
      <c r="AE10" s="63" t="str">
        <f t="shared" si="4"/>
        <v>N/A</v>
      </c>
      <c r="AF10" s="57"/>
      <c r="AG10" s="57"/>
      <c r="AH10" s="57"/>
      <c r="AI10" s="57"/>
      <c r="AJ10" s="57"/>
    </row>
    <row r="11" spans="1:36" x14ac:dyDescent="0.2">
      <c r="A11" s="55" t="s">
        <v>44</v>
      </c>
      <c r="B11" s="56" t="s">
        <v>401</v>
      </c>
      <c r="C11" s="77">
        <v>22089.48</v>
      </c>
      <c r="E11" s="77">
        <v>22042.16</v>
      </c>
      <c r="G11" s="77">
        <v>19254.61</v>
      </c>
      <c r="I11" s="77">
        <v>6500</v>
      </c>
      <c r="K11" s="77">
        <v>6500</v>
      </c>
      <c r="M11" s="77">
        <v>2205.6999999999998</v>
      </c>
      <c r="O11" s="77">
        <v>0</v>
      </c>
      <c r="Q11" s="77">
        <f t="shared" si="0"/>
        <v>2205.6999999999998</v>
      </c>
      <c r="S11" s="77">
        <v>0</v>
      </c>
      <c r="W11" s="77">
        <v>0</v>
      </c>
      <c r="Y11" s="77">
        <f t="shared" si="1"/>
        <v>-6500</v>
      </c>
      <c r="Z11" s="57"/>
      <c r="AA11" s="58" t="str">
        <f t="shared" si="2"/>
        <v>N/A</v>
      </c>
      <c r="AB11" s="57"/>
      <c r="AC11" s="77">
        <f t="shared" si="3"/>
        <v>-2205.6999999999998</v>
      </c>
      <c r="AD11" s="57"/>
      <c r="AE11" s="58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A12" s="59" t="s">
        <v>45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37000</v>
      </c>
      <c r="J12" s="79"/>
      <c r="K12" s="79">
        <v>37000</v>
      </c>
      <c r="L12" s="79"/>
      <c r="M12" s="79">
        <v>39515.17</v>
      </c>
      <c r="N12" s="79"/>
      <c r="O12" s="79">
        <f>PRODUCT(M12,0/9)</f>
        <v>0</v>
      </c>
      <c r="P12" s="79"/>
      <c r="Q12" s="79">
        <f t="shared" si="0"/>
        <v>39515.17</v>
      </c>
      <c r="R12" s="79"/>
      <c r="S12" s="79">
        <v>60000</v>
      </c>
      <c r="T12" s="79"/>
      <c r="U12" s="79">
        <v>55000</v>
      </c>
      <c r="V12" s="79"/>
      <c r="W12" s="79">
        <v>60000</v>
      </c>
      <c r="X12" s="79"/>
      <c r="Y12" s="79">
        <f t="shared" si="1"/>
        <v>23000</v>
      </c>
      <c r="Z12" s="62"/>
      <c r="AA12" s="63">
        <f t="shared" si="2"/>
        <v>0.6216216216216216</v>
      </c>
      <c r="AB12" s="62"/>
      <c r="AC12" s="79">
        <f t="shared" si="3"/>
        <v>20484.830000000002</v>
      </c>
      <c r="AD12" s="62"/>
      <c r="AE12" s="63">
        <f t="shared" si="4"/>
        <v>0.51840419767901802</v>
      </c>
      <c r="AF12" s="57"/>
      <c r="AG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687163.74</v>
      </c>
      <c r="E13" s="81">
        <f>SUM(E6:E12)</f>
        <v>742792.87000000023</v>
      </c>
      <c r="G13" s="81">
        <f>SUM(G6:G12)</f>
        <v>691604.25</v>
      </c>
      <c r="I13" s="81">
        <f>SUM(I6:I12)</f>
        <v>781200</v>
      </c>
      <c r="K13" s="81">
        <f>SUM(K6:K12)</f>
        <v>780700</v>
      </c>
      <c r="M13" s="81">
        <f>SUM(M6:M12)</f>
        <v>707205.92999999993</v>
      </c>
      <c r="O13" s="81">
        <f>SUM(O6:O12)</f>
        <v>0</v>
      </c>
      <c r="Q13" s="81">
        <f>SUM(Q6:Q12)</f>
        <v>707205.92999999993</v>
      </c>
      <c r="S13" s="81">
        <f>SUM(S6:S12)</f>
        <v>868000</v>
      </c>
      <c r="U13" s="81">
        <f>SUM(U6:U12)</f>
        <v>792500</v>
      </c>
      <c r="W13" s="81">
        <f>SUM(W6:W12)</f>
        <v>867500</v>
      </c>
      <c r="Y13" s="81">
        <f>SUM(Y6:Y12)</f>
        <v>86300</v>
      </c>
      <c r="Z13" s="57"/>
      <c r="AA13" s="65">
        <f t="shared" si="2"/>
        <v>0.1104710701484895</v>
      </c>
      <c r="AB13" s="57"/>
      <c r="AC13" s="81">
        <f>SUM(AC6:AC12)</f>
        <v>160294.07000000007</v>
      </c>
      <c r="AD13" s="57"/>
      <c r="AE13" s="65">
        <f t="shared" si="4"/>
        <v>0.2266582662846168</v>
      </c>
      <c r="AF13" s="57"/>
      <c r="AG13" s="57"/>
      <c r="AH13" s="57"/>
      <c r="AI13" s="57"/>
      <c r="AJ13" s="57"/>
    </row>
    <row r="14" spans="1:36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A16" s="59" t="s">
        <v>50</v>
      </c>
      <c r="B16" s="60" t="s">
        <v>296</v>
      </c>
      <c r="C16" s="79">
        <v>50176.98</v>
      </c>
      <c r="D16" s="80"/>
      <c r="E16" s="79">
        <v>55306.44</v>
      </c>
      <c r="F16" s="80"/>
      <c r="G16" s="79">
        <v>56503.41</v>
      </c>
      <c r="H16" s="79"/>
      <c r="I16" s="79">
        <v>60000</v>
      </c>
      <c r="J16" s="79"/>
      <c r="K16" s="79">
        <v>56500</v>
      </c>
      <c r="L16" s="79"/>
      <c r="M16" s="79">
        <v>58052.05</v>
      </c>
      <c r="N16" s="79"/>
      <c r="O16" s="79">
        <f t="shared" ref="O16:O28" si="5">PRODUCT(M16,0/12)</f>
        <v>0</v>
      </c>
      <c r="P16" s="79"/>
      <c r="Q16" s="79">
        <f t="shared" ref="Q16:Q34" si="6">SUM(M16,O16)</f>
        <v>58052.05</v>
      </c>
      <c r="R16" s="79"/>
      <c r="S16" s="79">
        <v>60000</v>
      </c>
      <c r="T16" s="79"/>
      <c r="U16" s="79">
        <v>72500</v>
      </c>
      <c r="V16" s="79"/>
      <c r="W16" s="79">
        <v>72500</v>
      </c>
      <c r="X16" s="79"/>
      <c r="Y16" s="79">
        <f t="shared" ref="Y16:Y34" si="7">SUM(W16,-I16)</f>
        <v>12500</v>
      </c>
      <c r="Z16" s="62"/>
      <c r="AA16" s="63">
        <f t="shared" ref="AA16:AA35" si="8">IF(W16=0,"N/A",PRODUCT(Y16,1/I16))</f>
        <v>0.20833333333333334</v>
      </c>
      <c r="AB16" s="62"/>
      <c r="AC16" s="79">
        <f t="shared" ref="AC16:AC34" si="9">SUM(W16,-Q16)</f>
        <v>14447.949999999997</v>
      </c>
      <c r="AD16" s="62"/>
      <c r="AE16" s="63">
        <f t="shared" ref="AE16:AE35" si="10">IF(W16=0,"N/A",PRODUCT(AC16,1/Q16))</f>
        <v>0.24887923854540875</v>
      </c>
      <c r="AF16" s="57"/>
      <c r="AG16" s="57" t="s">
        <v>993</v>
      </c>
      <c r="AH16" s="57"/>
      <c r="AI16" s="57"/>
      <c r="AJ16" s="57"/>
    </row>
    <row r="17" spans="1:36" x14ac:dyDescent="0.2">
      <c r="A17" s="55" t="s">
        <v>51</v>
      </c>
      <c r="B17" s="56" t="s">
        <v>491</v>
      </c>
      <c r="C17" s="77">
        <v>40901.46</v>
      </c>
      <c r="E17" s="77">
        <v>33595.919999999998</v>
      </c>
      <c r="G17" s="77">
        <v>33230.51</v>
      </c>
      <c r="I17" s="77">
        <v>37500</v>
      </c>
      <c r="K17" s="77">
        <v>37500</v>
      </c>
      <c r="M17" s="77">
        <v>31108.31</v>
      </c>
      <c r="O17" s="77">
        <f t="shared" si="5"/>
        <v>0</v>
      </c>
      <c r="Q17" s="77">
        <f t="shared" si="6"/>
        <v>31108.31</v>
      </c>
      <c r="S17" s="77">
        <v>37500</v>
      </c>
      <c r="U17" s="77">
        <v>37500</v>
      </c>
      <c r="W17" s="77">
        <v>37500</v>
      </c>
      <c r="Y17" s="77">
        <f t="shared" si="7"/>
        <v>0</v>
      </c>
      <c r="Z17" s="57"/>
      <c r="AA17" s="58">
        <f t="shared" si="8"/>
        <v>0</v>
      </c>
      <c r="AB17" s="57"/>
      <c r="AC17" s="77">
        <f t="shared" si="9"/>
        <v>6391.6899999999987</v>
      </c>
      <c r="AD17" s="57"/>
      <c r="AE17" s="58">
        <f t="shared" si="10"/>
        <v>0.20546567782049227</v>
      </c>
      <c r="AF17" s="57"/>
      <c r="AG17" s="57"/>
      <c r="AH17" s="57"/>
      <c r="AI17" s="57"/>
      <c r="AJ17" s="57"/>
    </row>
    <row r="18" spans="1:36" x14ac:dyDescent="0.2">
      <c r="A18" s="59" t="s">
        <v>52</v>
      </c>
      <c r="B18" s="60" t="s">
        <v>571</v>
      </c>
      <c r="C18" s="79">
        <v>0</v>
      </c>
      <c r="D18" s="80"/>
      <c r="E18" s="79">
        <v>8987.5</v>
      </c>
      <c r="F18" s="80"/>
      <c r="G18" s="79">
        <v>0</v>
      </c>
      <c r="H18" s="79"/>
      <c r="I18" s="79">
        <v>2000</v>
      </c>
      <c r="J18" s="79"/>
      <c r="K18" s="79">
        <v>2000</v>
      </c>
      <c r="L18" s="79"/>
      <c r="M18" s="79">
        <v>0</v>
      </c>
      <c r="N18" s="79"/>
      <c r="O18" s="79">
        <f t="shared" si="5"/>
        <v>0</v>
      </c>
      <c r="P18" s="79"/>
      <c r="Q18" s="79">
        <f t="shared" si="6"/>
        <v>0</v>
      </c>
      <c r="R18" s="79"/>
      <c r="S18" s="79">
        <v>0</v>
      </c>
      <c r="T18" s="79"/>
      <c r="U18" s="79">
        <v>0</v>
      </c>
      <c r="V18" s="79"/>
      <c r="W18" s="79">
        <v>0</v>
      </c>
      <c r="X18" s="79"/>
      <c r="Y18" s="79">
        <f t="shared" si="7"/>
        <v>-2000</v>
      </c>
      <c r="Z18" s="62"/>
      <c r="AA18" s="63" t="str">
        <f t="shared" si="8"/>
        <v>N/A</v>
      </c>
      <c r="AB18" s="62"/>
      <c r="AC18" s="79">
        <f t="shared" si="9"/>
        <v>0</v>
      </c>
      <c r="AD18" s="62"/>
      <c r="AE18" s="63" t="str">
        <f t="shared" si="10"/>
        <v>N/A</v>
      </c>
      <c r="AF18" s="57"/>
      <c r="AG18" s="57"/>
      <c r="AH18" s="57"/>
      <c r="AI18" s="57"/>
      <c r="AJ18" s="57"/>
    </row>
    <row r="19" spans="1:36" x14ac:dyDescent="0.2">
      <c r="A19" s="55" t="s">
        <v>53</v>
      </c>
      <c r="B19" s="56" t="s">
        <v>308</v>
      </c>
      <c r="C19" s="77">
        <v>41717.980000000003</v>
      </c>
      <c r="E19" s="77">
        <v>63212.74</v>
      </c>
      <c r="G19" s="77">
        <v>55730.1</v>
      </c>
      <c r="I19" s="77">
        <v>65000</v>
      </c>
      <c r="K19" s="77">
        <v>65000</v>
      </c>
      <c r="M19" s="77">
        <v>79632.320000000007</v>
      </c>
      <c r="O19" s="77">
        <f t="shared" si="5"/>
        <v>0</v>
      </c>
      <c r="Q19" s="77">
        <f t="shared" si="6"/>
        <v>79632.320000000007</v>
      </c>
      <c r="S19" s="77">
        <v>60000</v>
      </c>
      <c r="U19" s="77">
        <v>85000</v>
      </c>
      <c r="W19" s="77">
        <v>85000</v>
      </c>
      <c r="Y19" s="77">
        <f t="shared" si="7"/>
        <v>20000</v>
      </c>
      <c r="Z19" s="57"/>
      <c r="AA19" s="58">
        <f t="shared" si="8"/>
        <v>0.30769230769230765</v>
      </c>
      <c r="AB19" s="57"/>
      <c r="AC19" s="77">
        <f t="shared" si="9"/>
        <v>5367.679999999993</v>
      </c>
      <c r="AD19" s="57"/>
      <c r="AE19" s="58">
        <f t="shared" si="10"/>
        <v>6.7405797043210494E-2</v>
      </c>
      <c r="AF19" s="57"/>
      <c r="AG19" s="57" t="s">
        <v>994</v>
      </c>
      <c r="AH19" s="57"/>
      <c r="AI19" s="57"/>
      <c r="AJ19" s="57"/>
    </row>
    <row r="20" spans="1:36" x14ac:dyDescent="0.2">
      <c r="A20" s="59" t="s">
        <v>1004</v>
      </c>
      <c r="B20" s="60" t="s">
        <v>1002</v>
      </c>
      <c r="C20" s="79">
        <v>0</v>
      </c>
      <c r="D20" s="80"/>
      <c r="E20" s="79">
        <v>0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f t="shared" si="5"/>
        <v>0</v>
      </c>
      <c r="P20" s="79"/>
      <c r="Q20" s="79">
        <f t="shared" si="6"/>
        <v>0</v>
      </c>
      <c r="R20" s="79"/>
      <c r="S20" s="79">
        <v>0</v>
      </c>
      <c r="T20" s="79"/>
      <c r="U20" s="79">
        <v>2500</v>
      </c>
      <c r="V20" s="79"/>
      <c r="W20" s="79">
        <v>2500</v>
      </c>
      <c r="X20" s="79"/>
      <c r="Y20" s="79">
        <f t="shared" si="7"/>
        <v>2500</v>
      </c>
      <c r="Z20" s="62"/>
      <c r="AA20" s="63" t="e">
        <f t="shared" si="8"/>
        <v>#DIV/0!</v>
      </c>
      <c r="AB20" s="62"/>
      <c r="AC20" s="79">
        <f t="shared" si="9"/>
        <v>2500</v>
      </c>
      <c r="AD20" s="62"/>
      <c r="AE20" s="63" t="e">
        <f t="shared" si="10"/>
        <v>#DIV/0!</v>
      </c>
      <c r="AF20" s="57"/>
      <c r="AG20" s="57" t="s">
        <v>1006</v>
      </c>
      <c r="AH20" s="57"/>
      <c r="AI20" s="57"/>
      <c r="AJ20" s="57"/>
    </row>
    <row r="21" spans="1:36" x14ac:dyDescent="0.2">
      <c r="A21" s="55" t="s">
        <v>1005</v>
      </c>
      <c r="B21" s="56" t="s">
        <v>1003</v>
      </c>
      <c r="C21" s="77">
        <v>0</v>
      </c>
      <c r="E21" s="77">
        <v>0</v>
      </c>
      <c r="G21" s="77">
        <v>0</v>
      </c>
      <c r="I21" s="77">
        <v>0</v>
      </c>
      <c r="K21" s="77">
        <v>0</v>
      </c>
      <c r="M21" s="77">
        <v>0</v>
      </c>
      <c r="O21" s="77">
        <f t="shared" si="5"/>
        <v>0</v>
      </c>
      <c r="Q21" s="77">
        <f t="shared" si="6"/>
        <v>0</v>
      </c>
      <c r="S21" s="77">
        <v>0</v>
      </c>
      <c r="U21" s="77">
        <v>2500</v>
      </c>
      <c r="W21" s="77">
        <v>2500</v>
      </c>
      <c r="Y21" s="77">
        <f t="shared" si="7"/>
        <v>2500</v>
      </c>
      <c r="Z21" s="57"/>
      <c r="AA21" s="58" t="e">
        <f t="shared" si="8"/>
        <v>#DIV/0!</v>
      </c>
      <c r="AB21" s="57"/>
      <c r="AC21" s="77">
        <f t="shared" si="9"/>
        <v>2500</v>
      </c>
      <c r="AD21" s="57"/>
      <c r="AE21" s="58" t="e">
        <f t="shared" si="10"/>
        <v>#DIV/0!</v>
      </c>
      <c r="AF21" s="57"/>
      <c r="AG21" s="57" t="s">
        <v>1006</v>
      </c>
      <c r="AH21" s="57"/>
      <c r="AI21" s="57"/>
      <c r="AJ21" s="57"/>
    </row>
    <row r="22" spans="1:36" x14ac:dyDescent="0.2">
      <c r="A22" s="59" t="s">
        <v>54</v>
      </c>
      <c r="B22" s="60" t="s">
        <v>318</v>
      </c>
      <c r="C22" s="79">
        <v>18749.5</v>
      </c>
      <c r="D22" s="80"/>
      <c r="E22" s="79">
        <v>23081.11</v>
      </c>
      <c r="F22" s="80"/>
      <c r="G22" s="79">
        <v>36750.76</v>
      </c>
      <c r="H22" s="79"/>
      <c r="I22" s="79">
        <v>25500</v>
      </c>
      <c r="J22" s="79"/>
      <c r="K22" s="79">
        <v>25500</v>
      </c>
      <c r="L22" s="79"/>
      <c r="M22" s="79">
        <v>36969.58</v>
      </c>
      <c r="N22" s="79"/>
      <c r="O22" s="79">
        <f t="shared" si="5"/>
        <v>0</v>
      </c>
      <c r="P22" s="79"/>
      <c r="Q22" s="79">
        <f t="shared" si="6"/>
        <v>36969.58</v>
      </c>
      <c r="R22" s="79"/>
      <c r="S22" s="79">
        <v>32500</v>
      </c>
      <c r="T22" s="79"/>
      <c r="U22" s="79">
        <v>32500</v>
      </c>
      <c r="V22" s="79"/>
      <c r="W22" s="79">
        <v>27500</v>
      </c>
      <c r="X22" s="79"/>
      <c r="Y22" s="79">
        <f t="shared" si="7"/>
        <v>2000</v>
      </c>
      <c r="Z22" s="62"/>
      <c r="AA22" s="63">
        <f t="shared" si="8"/>
        <v>7.8431372549019607E-2</v>
      </c>
      <c r="AB22" s="62"/>
      <c r="AC22" s="79">
        <f t="shared" si="9"/>
        <v>-9469.5800000000017</v>
      </c>
      <c r="AD22" s="62"/>
      <c r="AE22" s="63">
        <f t="shared" si="10"/>
        <v>-0.25614518747575715</v>
      </c>
      <c r="AF22" s="57"/>
      <c r="AG22" s="57"/>
      <c r="AH22" s="57"/>
      <c r="AI22" s="57"/>
      <c r="AJ22" s="57"/>
    </row>
    <row r="23" spans="1:36" x14ac:dyDescent="0.2">
      <c r="A23" s="55" t="s">
        <v>944</v>
      </c>
      <c r="B23" s="56" t="s">
        <v>633</v>
      </c>
      <c r="C23" s="77">
        <v>0</v>
      </c>
      <c r="E23" s="77">
        <v>0</v>
      </c>
      <c r="G23" s="77">
        <v>0</v>
      </c>
      <c r="I23" s="77">
        <v>0</v>
      </c>
      <c r="K23" s="77">
        <v>3500</v>
      </c>
      <c r="M23" s="77">
        <v>3339.03</v>
      </c>
      <c r="O23" s="77">
        <f t="shared" si="5"/>
        <v>0</v>
      </c>
      <c r="Q23" s="77">
        <f t="shared" si="6"/>
        <v>3339.03</v>
      </c>
      <c r="S23" s="77">
        <v>4000</v>
      </c>
      <c r="U23" s="77">
        <v>4000</v>
      </c>
      <c r="W23" s="77">
        <v>4500</v>
      </c>
      <c r="Y23" s="77">
        <f t="shared" si="7"/>
        <v>4500</v>
      </c>
      <c r="Z23" s="57"/>
      <c r="AA23" s="58" t="e">
        <f t="shared" si="8"/>
        <v>#DIV/0!</v>
      </c>
      <c r="AB23" s="57"/>
      <c r="AC23" s="77">
        <f t="shared" si="9"/>
        <v>1160.9699999999998</v>
      </c>
      <c r="AD23" s="57"/>
      <c r="AE23" s="58">
        <f t="shared" si="10"/>
        <v>0.34769678619239708</v>
      </c>
      <c r="AF23" s="57"/>
      <c r="AG23" s="57" t="s">
        <v>1108</v>
      </c>
      <c r="AH23" s="57"/>
      <c r="AI23" s="57"/>
      <c r="AJ23" s="57"/>
    </row>
    <row r="24" spans="1:36" x14ac:dyDescent="0.2">
      <c r="A24" s="59" t="s">
        <v>55</v>
      </c>
      <c r="B24" s="60" t="s">
        <v>499</v>
      </c>
      <c r="C24" s="79">
        <v>918.57</v>
      </c>
      <c r="D24" s="80"/>
      <c r="E24" s="79">
        <v>882.51</v>
      </c>
      <c r="F24" s="80"/>
      <c r="G24" s="79">
        <v>975.64</v>
      </c>
      <c r="H24" s="79"/>
      <c r="I24" s="79">
        <v>1200</v>
      </c>
      <c r="J24" s="79"/>
      <c r="K24" s="79">
        <v>1200</v>
      </c>
      <c r="L24" s="79"/>
      <c r="M24" s="79">
        <v>1077.01</v>
      </c>
      <c r="N24" s="79"/>
      <c r="O24" s="79">
        <f t="shared" si="5"/>
        <v>0</v>
      </c>
      <c r="P24" s="79"/>
      <c r="Q24" s="79">
        <f t="shared" si="6"/>
        <v>1077.01</v>
      </c>
      <c r="R24" s="79"/>
      <c r="S24" s="79">
        <v>1200</v>
      </c>
      <c r="T24" s="79"/>
      <c r="U24" s="79">
        <v>1500</v>
      </c>
      <c r="V24" s="79"/>
      <c r="W24" s="79">
        <v>1200</v>
      </c>
      <c r="X24" s="79"/>
      <c r="Y24" s="79">
        <f t="shared" si="7"/>
        <v>0</v>
      </c>
      <c r="Z24" s="62"/>
      <c r="AA24" s="63">
        <f t="shared" si="8"/>
        <v>0</v>
      </c>
      <c r="AB24" s="62"/>
      <c r="AC24" s="79">
        <f t="shared" si="9"/>
        <v>122.99000000000001</v>
      </c>
      <c r="AD24" s="62"/>
      <c r="AE24" s="63">
        <f t="shared" si="10"/>
        <v>0.11419578276896224</v>
      </c>
      <c r="AF24" s="57"/>
      <c r="AG24" s="57"/>
      <c r="AH24" s="57"/>
      <c r="AI24" s="57"/>
      <c r="AJ24" s="57"/>
    </row>
    <row r="25" spans="1:36" x14ac:dyDescent="0.2">
      <c r="A25" s="55" t="s">
        <v>56</v>
      </c>
      <c r="B25" s="56" t="s">
        <v>492</v>
      </c>
      <c r="C25" s="77">
        <v>87722.4</v>
      </c>
      <c r="E25" s="77">
        <v>104661.75999999999</v>
      </c>
      <c r="G25" s="77">
        <v>128635.12</v>
      </c>
      <c r="I25" s="77">
        <v>135000</v>
      </c>
      <c r="K25" s="77">
        <v>135000</v>
      </c>
      <c r="M25" s="77">
        <v>117971.56</v>
      </c>
      <c r="O25" s="77">
        <f t="shared" si="5"/>
        <v>0</v>
      </c>
      <c r="Q25" s="77">
        <f t="shared" si="6"/>
        <v>117971.56</v>
      </c>
      <c r="S25" s="77">
        <v>130000</v>
      </c>
      <c r="U25" s="77">
        <v>135000</v>
      </c>
      <c r="W25" s="77">
        <v>135000</v>
      </c>
      <c r="Y25" s="77">
        <f t="shared" si="7"/>
        <v>0</v>
      </c>
      <c r="Z25" s="57"/>
      <c r="AA25" s="58">
        <f t="shared" si="8"/>
        <v>0</v>
      </c>
      <c r="AB25" s="57"/>
      <c r="AC25" s="77">
        <f t="shared" si="9"/>
        <v>17028.440000000002</v>
      </c>
      <c r="AD25" s="57"/>
      <c r="AE25" s="58">
        <f t="shared" si="10"/>
        <v>0.144343602814102</v>
      </c>
      <c r="AF25" s="57"/>
      <c r="AG25" s="57"/>
      <c r="AH25" s="57"/>
      <c r="AI25" s="57"/>
      <c r="AJ25" s="57"/>
    </row>
    <row r="26" spans="1:36" x14ac:dyDescent="0.2">
      <c r="A26" s="59" t="s">
        <v>57</v>
      </c>
      <c r="B26" s="60" t="s">
        <v>572</v>
      </c>
      <c r="C26" s="79">
        <v>70306.09</v>
      </c>
      <c r="D26" s="80"/>
      <c r="E26" s="79">
        <v>56551.58</v>
      </c>
      <c r="F26" s="80"/>
      <c r="G26" s="79">
        <v>74586.23</v>
      </c>
      <c r="H26" s="79"/>
      <c r="I26" s="79">
        <v>85000</v>
      </c>
      <c r="J26" s="79"/>
      <c r="K26" s="79">
        <v>85000</v>
      </c>
      <c r="L26" s="79"/>
      <c r="M26" s="79">
        <v>73277.61</v>
      </c>
      <c r="N26" s="79"/>
      <c r="O26" s="79">
        <f t="shared" si="5"/>
        <v>0</v>
      </c>
      <c r="P26" s="79"/>
      <c r="Q26" s="79">
        <f t="shared" si="6"/>
        <v>73277.61</v>
      </c>
      <c r="R26" s="79"/>
      <c r="S26" s="79">
        <v>70000</v>
      </c>
      <c r="T26" s="79"/>
      <c r="U26" s="79">
        <v>85000</v>
      </c>
      <c r="V26" s="79"/>
      <c r="W26" s="79">
        <v>80000</v>
      </c>
      <c r="X26" s="79"/>
      <c r="Y26" s="79">
        <f t="shared" si="7"/>
        <v>-5000</v>
      </c>
      <c r="Z26" s="62"/>
      <c r="AA26" s="63">
        <f t="shared" si="8"/>
        <v>-5.8823529411764712E-2</v>
      </c>
      <c r="AB26" s="62"/>
      <c r="AC26" s="79">
        <f t="shared" si="9"/>
        <v>6722.3899999999994</v>
      </c>
      <c r="AD26" s="62"/>
      <c r="AE26" s="63">
        <f t="shared" si="10"/>
        <v>9.1738663419835872E-2</v>
      </c>
      <c r="AF26" s="57"/>
      <c r="AG26" s="57"/>
      <c r="AH26" s="57"/>
      <c r="AI26" s="57"/>
      <c r="AJ26" s="57"/>
    </row>
    <row r="27" spans="1:36" x14ac:dyDescent="0.2">
      <c r="A27" s="55" t="s">
        <v>58</v>
      </c>
      <c r="B27" s="56" t="s">
        <v>321</v>
      </c>
      <c r="C27" s="77">
        <v>5215.26</v>
      </c>
      <c r="E27" s="77">
        <v>4595.33</v>
      </c>
      <c r="G27" s="77">
        <v>14224.49</v>
      </c>
      <c r="I27" s="77">
        <v>7500</v>
      </c>
      <c r="K27" s="77">
        <v>7500</v>
      </c>
      <c r="M27" s="77">
        <v>6867.08</v>
      </c>
      <c r="O27" s="77">
        <f t="shared" si="5"/>
        <v>0</v>
      </c>
      <c r="Q27" s="77">
        <f t="shared" si="6"/>
        <v>6867.08</v>
      </c>
      <c r="S27" s="77">
        <v>8000</v>
      </c>
      <c r="U27" s="77">
        <v>8500</v>
      </c>
      <c r="W27" s="77">
        <v>7500</v>
      </c>
      <c r="Y27" s="77">
        <f t="shared" si="7"/>
        <v>0</v>
      </c>
      <c r="Z27" s="57"/>
      <c r="AA27" s="58">
        <f t="shared" si="8"/>
        <v>0</v>
      </c>
      <c r="AB27" s="57"/>
      <c r="AC27" s="77">
        <f t="shared" si="9"/>
        <v>632.92000000000007</v>
      </c>
      <c r="AD27" s="57"/>
      <c r="AE27" s="58">
        <f t="shared" si="10"/>
        <v>9.2167267601367703E-2</v>
      </c>
      <c r="AF27" s="57"/>
      <c r="AG27" s="57"/>
      <c r="AH27" s="57"/>
      <c r="AI27" s="57"/>
      <c r="AJ27" s="57"/>
    </row>
    <row r="28" spans="1:36" x14ac:dyDescent="0.2">
      <c r="A28" s="59" t="s">
        <v>59</v>
      </c>
      <c r="B28" s="60" t="s">
        <v>500</v>
      </c>
      <c r="C28" s="79">
        <v>113595.16</v>
      </c>
      <c r="D28" s="80"/>
      <c r="E28" s="79">
        <v>108208.87</v>
      </c>
      <c r="F28" s="80"/>
      <c r="G28" s="79">
        <v>137480.65</v>
      </c>
      <c r="H28" s="79"/>
      <c r="I28" s="79">
        <v>146000</v>
      </c>
      <c r="J28" s="79"/>
      <c r="K28" s="79">
        <v>146000</v>
      </c>
      <c r="L28" s="79"/>
      <c r="M28" s="79">
        <v>125643.72</v>
      </c>
      <c r="N28" s="79"/>
      <c r="O28" s="79">
        <f t="shared" si="5"/>
        <v>0</v>
      </c>
      <c r="P28" s="79"/>
      <c r="Q28" s="79">
        <f t="shared" si="6"/>
        <v>125643.72</v>
      </c>
      <c r="R28" s="79"/>
      <c r="S28" s="79">
        <v>125000</v>
      </c>
      <c r="T28" s="79"/>
      <c r="U28" s="79">
        <v>155000</v>
      </c>
      <c r="V28" s="79"/>
      <c r="W28" s="79">
        <v>150000</v>
      </c>
      <c r="X28" s="79"/>
      <c r="Y28" s="79">
        <f t="shared" si="7"/>
        <v>4000</v>
      </c>
      <c r="Z28" s="62"/>
      <c r="AA28" s="63">
        <f t="shared" si="8"/>
        <v>2.7397260273972605E-2</v>
      </c>
      <c r="AB28" s="62"/>
      <c r="AC28" s="79">
        <f t="shared" si="9"/>
        <v>24356.28</v>
      </c>
      <c r="AD28" s="62"/>
      <c r="AE28" s="63">
        <f t="shared" si="10"/>
        <v>0.19385194898718378</v>
      </c>
      <c r="AF28" s="57"/>
      <c r="AG28" s="57"/>
      <c r="AH28" s="57"/>
      <c r="AI28" s="57"/>
      <c r="AJ28" s="57"/>
    </row>
    <row r="29" spans="1:36" x14ac:dyDescent="0.2">
      <c r="A29" s="55" t="s">
        <v>60</v>
      </c>
      <c r="B29" s="56" t="s">
        <v>501</v>
      </c>
      <c r="C29" s="77">
        <v>0</v>
      </c>
      <c r="E29" s="77">
        <v>0</v>
      </c>
      <c r="G29" s="77">
        <v>0</v>
      </c>
      <c r="I29" s="77">
        <v>30000</v>
      </c>
      <c r="K29" s="77">
        <v>30000</v>
      </c>
      <c r="M29" s="77">
        <v>17997.3</v>
      </c>
      <c r="O29" s="77">
        <v>0</v>
      </c>
      <c r="Q29" s="77">
        <f t="shared" si="6"/>
        <v>17997.3</v>
      </c>
      <c r="S29" s="77">
        <v>0</v>
      </c>
      <c r="U29" s="77">
        <v>0</v>
      </c>
      <c r="W29" s="77">
        <v>0</v>
      </c>
      <c r="Y29" s="77">
        <f t="shared" si="7"/>
        <v>-30000</v>
      </c>
      <c r="Z29" s="57"/>
      <c r="AA29" s="58" t="str">
        <f t="shared" si="8"/>
        <v>N/A</v>
      </c>
      <c r="AB29" s="57"/>
      <c r="AC29" s="77">
        <f t="shared" si="9"/>
        <v>-17997.3</v>
      </c>
      <c r="AD29" s="57"/>
      <c r="AE29" s="58" t="str">
        <f t="shared" si="10"/>
        <v>N/A</v>
      </c>
      <c r="AF29" s="57"/>
      <c r="AG29" s="57"/>
      <c r="AH29" s="57"/>
      <c r="AI29" s="57"/>
      <c r="AJ29" s="57"/>
    </row>
    <row r="30" spans="1:36" x14ac:dyDescent="0.2">
      <c r="A30" s="59" t="s">
        <v>61</v>
      </c>
      <c r="B30" s="60" t="s">
        <v>502</v>
      </c>
      <c r="C30" s="79">
        <v>0</v>
      </c>
      <c r="D30" s="80"/>
      <c r="E30" s="79">
        <v>0</v>
      </c>
      <c r="F30" s="80"/>
      <c r="G30" s="79">
        <v>81155</v>
      </c>
      <c r="H30" s="79"/>
      <c r="I30" s="79">
        <v>0</v>
      </c>
      <c r="J30" s="79"/>
      <c r="K30" s="79">
        <v>0</v>
      </c>
      <c r="L30" s="79"/>
      <c r="M30" s="79">
        <v>0</v>
      </c>
      <c r="N30" s="79"/>
      <c r="O30" s="79">
        <f>PRODUCT(M30,0/12)</f>
        <v>0</v>
      </c>
      <c r="P30" s="79"/>
      <c r="Q30" s="79">
        <f t="shared" si="6"/>
        <v>0</v>
      </c>
      <c r="R30" s="79"/>
      <c r="S30" s="79">
        <v>0</v>
      </c>
      <c r="T30" s="79"/>
      <c r="U30" s="79">
        <v>0</v>
      </c>
      <c r="V30" s="79"/>
      <c r="W30" s="79">
        <v>0</v>
      </c>
      <c r="X30" s="79"/>
      <c r="Y30" s="79">
        <f t="shared" si="7"/>
        <v>0</v>
      </c>
      <c r="Z30" s="62"/>
      <c r="AA30" s="63" t="str">
        <f t="shared" si="8"/>
        <v>N/A</v>
      </c>
      <c r="AB30" s="62"/>
      <c r="AC30" s="79">
        <f t="shared" si="9"/>
        <v>0</v>
      </c>
      <c r="AD30" s="62"/>
      <c r="AE30" s="63" t="str">
        <f t="shared" si="10"/>
        <v>N/A</v>
      </c>
      <c r="AF30" s="57"/>
      <c r="AG30" s="57"/>
      <c r="AH30" s="57"/>
      <c r="AI30" s="57"/>
      <c r="AJ30" s="57"/>
    </row>
    <row r="31" spans="1:36" x14ac:dyDescent="0.2">
      <c r="A31" s="55" t="s">
        <v>62</v>
      </c>
      <c r="B31" s="56" t="s">
        <v>493</v>
      </c>
      <c r="C31" s="77">
        <v>26938.75</v>
      </c>
      <c r="E31" s="77">
        <v>21741.57</v>
      </c>
      <c r="G31" s="77">
        <v>109881.75</v>
      </c>
      <c r="I31" s="77">
        <v>85000</v>
      </c>
      <c r="K31" s="77">
        <v>85000</v>
      </c>
      <c r="M31" s="77">
        <v>66045.539999999994</v>
      </c>
      <c r="O31" s="77">
        <f>PRODUCT(M31,0/12)</f>
        <v>0</v>
      </c>
      <c r="Q31" s="77">
        <f t="shared" si="6"/>
        <v>66045.539999999994</v>
      </c>
      <c r="S31" s="77">
        <v>35000</v>
      </c>
      <c r="U31" s="77">
        <v>65000</v>
      </c>
      <c r="W31" s="77">
        <v>70000</v>
      </c>
      <c r="Y31" s="77">
        <f t="shared" si="7"/>
        <v>-15000</v>
      </c>
      <c r="Z31" s="57"/>
      <c r="AA31" s="58">
        <f t="shared" si="8"/>
        <v>-0.17647058823529413</v>
      </c>
      <c r="AB31" s="57"/>
      <c r="AC31" s="77">
        <f t="shared" si="9"/>
        <v>3954.4600000000064</v>
      </c>
      <c r="AD31" s="57"/>
      <c r="AE31" s="58">
        <f t="shared" si="10"/>
        <v>5.9874747030609583E-2</v>
      </c>
      <c r="AF31" s="57"/>
      <c r="AG31" s="57" t="s">
        <v>1008</v>
      </c>
      <c r="AH31" s="57"/>
      <c r="AI31" s="57"/>
      <c r="AJ31" s="57"/>
    </row>
    <row r="32" spans="1:36" x14ac:dyDescent="0.2">
      <c r="A32" s="59" t="s">
        <v>63</v>
      </c>
      <c r="B32" s="60" t="s">
        <v>327</v>
      </c>
      <c r="C32" s="79">
        <v>26154.55</v>
      </c>
      <c r="D32" s="80"/>
      <c r="E32" s="79">
        <v>37330.449999999997</v>
      </c>
      <c r="F32" s="80"/>
      <c r="G32" s="79">
        <v>58471.95</v>
      </c>
      <c r="H32" s="79"/>
      <c r="I32" s="79">
        <v>45000</v>
      </c>
      <c r="J32" s="79"/>
      <c r="K32" s="79">
        <v>45000</v>
      </c>
      <c r="L32" s="79"/>
      <c r="M32" s="79">
        <v>55251.58</v>
      </c>
      <c r="N32" s="79"/>
      <c r="O32" s="79">
        <f>PRODUCT(M32,0/12)</f>
        <v>0</v>
      </c>
      <c r="P32" s="79"/>
      <c r="Q32" s="79">
        <f t="shared" si="6"/>
        <v>55251.58</v>
      </c>
      <c r="R32" s="79"/>
      <c r="S32" s="79">
        <v>50000</v>
      </c>
      <c r="T32" s="79"/>
      <c r="U32" s="79">
        <v>60000</v>
      </c>
      <c r="V32" s="79"/>
      <c r="W32" s="79">
        <v>55000</v>
      </c>
      <c r="X32" s="79"/>
      <c r="Y32" s="79">
        <f t="shared" si="7"/>
        <v>10000</v>
      </c>
      <c r="Z32" s="62"/>
      <c r="AA32" s="63">
        <f t="shared" si="8"/>
        <v>0.22222222222222224</v>
      </c>
      <c r="AB32" s="62"/>
      <c r="AC32" s="79">
        <f t="shared" si="9"/>
        <v>-251.58000000000175</v>
      </c>
      <c r="AD32" s="62"/>
      <c r="AE32" s="63">
        <f t="shared" si="10"/>
        <v>-4.5533539493350554E-3</v>
      </c>
      <c r="AF32" s="57"/>
      <c r="AG32" s="57" t="s">
        <v>995</v>
      </c>
      <c r="AH32" s="57"/>
      <c r="AI32" s="57"/>
      <c r="AJ32" s="57"/>
    </row>
    <row r="33" spans="1:36" x14ac:dyDescent="0.2">
      <c r="A33" s="55" t="s">
        <v>82</v>
      </c>
      <c r="B33" s="56" t="s">
        <v>330</v>
      </c>
      <c r="C33" s="77">
        <v>222</v>
      </c>
      <c r="E33" s="77">
        <v>1544.93</v>
      </c>
      <c r="G33" s="77">
        <v>3129.32</v>
      </c>
      <c r="I33" s="77">
        <v>7500</v>
      </c>
      <c r="K33" s="77">
        <v>7500</v>
      </c>
      <c r="M33" s="77">
        <v>7657.25</v>
      </c>
      <c r="O33" s="77">
        <f>PRODUCT(M33,0/12)</f>
        <v>0</v>
      </c>
      <c r="Q33" s="77">
        <f t="shared" si="6"/>
        <v>7657.25</v>
      </c>
      <c r="S33" s="77">
        <v>5000</v>
      </c>
      <c r="U33" s="77">
        <v>7500</v>
      </c>
      <c r="W33" s="77">
        <v>7500</v>
      </c>
      <c r="Y33" s="77">
        <f t="shared" si="7"/>
        <v>0</v>
      </c>
      <c r="Z33" s="57"/>
      <c r="AA33" s="58">
        <f t="shared" si="8"/>
        <v>0</v>
      </c>
      <c r="AB33" s="57"/>
      <c r="AC33" s="77">
        <f t="shared" si="9"/>
        <v>-157.25</v>
      </c>
      <c r="AD33" s="57"/>
      <c r="AE33" s="58">
        <f t="shared" si="10"/>
        <v>-2.0536093244963922E-2</v>
      </c>
      <c r="AF33" s="57"/>
      <c r="AG33" s="57"/>
      <c r="AH33" s="57"/>
      <c r="AI33" s="57"/>
      <c r="AJ33" s="57"/>
    </row>
    <row r="34" spans="1:36" x14ac:dyDescent="0.2">
      <c r="A34" s="59" t="s">
        <v>64</v>
      </c>
      <c r="B34" s="60" t="s">
        <v>224</v>
      </c>
      <c r="C34" s="79">
        <v>2424.69</v>
      </c>
      <c r="D34" s="80"/>
      <c r="E34" s="79">
        <v>1039.0999999999999</v>
      </c>
      <c r="F34" s="80"/>
      <c r="G34" s="79">
        <v>4489.29</v>
      </c>
      <c r="H34" s="79"/>
      <c r="I34" s="79">
        <v>0</v>
      </c>
      <c r="J34" s="79"/>
      <c r="K34" s="79">
        <v>0</v>
      </c>
      <c r="L34" s="79"/>
      <c r="M34" s="79">
        <v>0</v>
      </c>
      <c r="N34" s="79"/>
      <c r="O34" s="79">
        <f>PRODUCT(M34,0/12)</f>
        <v>0</v>
      </c>
      <c r="P34" s="79"/>
      <c r="Q34" s="79">
        <f t="shared" si="6"/>
        <v>0</v>
      </c>
      <c r="R34" s="79"/>
      <c r="S34" s="79">
        <v>0</v>
      </c>
      <c r="T34" s="79"/>
      <c r="U34" s="79">
        <v>0</v>
      </c>
      <c r="V34" s="79"/>
      <c r="W34" s="79">
        <v>0</v>
      </c>
      <c r="X34" s="79"/>
      <c r="Y34" s="79">
        <f t="shared" si="7"/>
        <v>0</v>
      </c>
      <c r="Z34" s="62"/>
      <c r="AA34" s="63" t="str">
        <f t="shared" si="8"/>
        <v>N/A</v>
      </c>
      <c r="AB34" s="62"/>
      <c r="AC34" s="79">
        <f t="shared" si="9"/>
        <v>0</v>
      </c>
      <c r="AD34" s="62"/>
      <c r="AE34" s="63" t="str">
        <f t="shared" si="10"/>
        <v>N/A</v>
      </c>
      <c r="AF34" s="57"/>
      <c r="AG34" s="57"/>
      <c r="AH34" s="57"/>
      <c r="AI34" s="57"/>
      <c r="AJ34" s="57"/>
    </row>
    <row r="35" spans="1:36" x14ac:dyDescent="0.2">
      <c r="A35" s="64" t="s">
        <v>49</v>
      </c>
      <c r="C35" s="81">
        <f>SUM(C16:C34)</f>
        <v>485043.39</v>
      </c>
      <c r="E35" s="81">
        <f>SUM(E16:E34)</f>
        <v>520739.81000000006</v>
      </c>
      <c r="G35" s="81">
        <f>SUM(G16:G34)</f>
        <v>795244.22</v>
      </c>
      <c r="I35" s="81">
        <f>SUM(I16:I34)</f>
        <v>732200</v>
      </c>
      <c r="K35" s="81">
        <f>SUM(K16:K34)</f>
        <v>732200</v>
      </c>
      <c r="M35" s="81">
        <f>SUM(M16:M34)</f>
        <v>680889.94000000006</v>
      </c>
      <c r="O35" s="81">
        <f>SUM(O16:O34)</f>
        <v>0</v>
      </c>
      <c r="Q35" s="81">
        <f>SUM(Q16:Q34)</f>
        <v>680889.94000000006</v>
      </c>
      <c r="S35" s="81">
        <f>SUM(S16:S34)</f>
        <v>618200</v>
      </c>
      <c r="U35" s="81">
        <f>SUM(U16:U34)</f>
        <v>754000</v>
      </c>
      <c r="W35" s="81">
        <f>SUM(W16:W34)</f>
        <v>738200</v>
      </c>
      <c r="Y35" s="81">
        <f>SUM(Y16:Y34)</f>
        <v>6000</v>
      </c>
      <c r="Z35" s="57"/>
      <c r="AA35" s="65">
        <f t="shared" si="8"/>
        <v>8.1944823818628776E-3</v>
      </c>
      <c r="AB35" s="57"/>
      <c r="AC35" s="81">
        <f>SUM(AC16:AC34)</f>
        <v>57310.059999999983</v>
      </c>
      <c r="AD35" s="57"/>
      <c r="AE35" s="65">
        <f t="shared" si="10"/>
        <v>8.416934460802869E-2</v>
      </c>
      <c r="AF35" s="57"/>
      <c r="AG35" s="57"/>
      <c r="AH35" s="57"/>
      <c r="AI35" s="57"/>
      <c r="AJ35" s="57"/>
    </row>
    <row r="36" spans="1:36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x14ac:dyDescent="0.2">
      <c r="A37" s="54" t="s">
        <v>65</v>
      </c>
      <c r="Z37" s="57"/>
      <c r="AB37" s="57"/>
      <c r="AD37" s="57"/>
      <c r="AF37" s="57"/>
      <c r="AG37" s="57"/>
      <c r="AH37" s="57"/>
      <c r="AI37" s="57"/>
      <c r="AJ37" s="57"/>
    </row>
    <row r="38" spans="1:36" x14ac:dyDescent="0.2">
      <c r="A38" s="55" t="s">
        <v>67</v>
      </c>
      <c r="B38" s="56" t="s">
        <v>342</v>
      </c>
      <c r="C38" s="77">
        <v>10730.57</v>
      </c>
      <c r="E38" s="77">
        <v>13775.85</v>
      </c>
      <c r="G38" s="77">
        <v>41572.93</v>
      </c>
      <c r="I38" s="77">
        <v>35000</v>
      </c>
      <c r="K38" s="77">
        <v>35000</v>
      </c>
      <c r="M38" s="77">
        <v>38761.85</v>
      </c>
      <c r="O38" s="77">
        <f>PRODUCT(M38,0/12)</f>
        <v>0</v>
      </c>
      <c r="Q38" s="77">
        <f>SUM(M38,O38)</f>
        <v>38761.85</v>
      </c>
      <c r="S38" s="77">
        <v>35000</v>
      </c>
      <c r="U38" s="77">
        <v>15000</v>
      </c>
      <c r="W38" s="77">
        <v>10000</v>
      </c>
      <c r="Y38" s="77">
        <f>SUM(W38,-I38)</f>
        <v>-25000</v>
      </c>
      <c r="Z38" s="57"/>
      <c r="AA38" s="58">
        <f>IF(W38=0,"N/A",PRODUCT(Y38,1/I38))</f>
        <v>-0.7142857142857143</v>
      </c>
      <c r="AB38" s="57"/>
      <c r="AC38" s="77">
        <f>SUM(W38,-Q38)</f>
        <v>-28761.85</v>
      </c>
      <c r="AD38" s="57"/>
      <c r="AE38" s="58">
        <f>IF(W38=0,"N/A",PRODUCT(AC38,1/Q38))</f>
        <v>-0.74201437753873967</v>
      </c>
      <c r="AF38" s="57"/>
      <c r="AG38" s="57" t="s">
        <v>1007</v>
      </c>
      <c r="AH38" s="57"/>
      <c r="AI38" s="57"/>
      <c r="AJ38" s="57"/>
    </row>
    <row r="39" spans="1:36" x14ac:dyDescent="0.2">
      <c r="A39" s="59" t="s">
        <v>68</v>
      </c>
      <c r="B39" s="60" t="s">
        <v>343</v>
      </c>
      <c r="C39" s="79">
        <v>18621.330000000002</v>
      </c>
      <c r="D39" s="80"/>
      <c r="E39" s="79">
        <v>28399.57</v>
      </c>
      <c r="F39" s="80"/>
      <c r="G39" s="79">
        <v>38148.57</v>
      </c>
      <c r="H39" s="79"/>
      <c r="I39" s="79">
        <v>42500</v>
      </c>
      <c r="J39" s="79"/>
      <c r="K39" s="79">
        <v>42500</v>
      </c>
      <c r="L39" s="79"/>
      <c r="M39" s="79">
        <v>44590.94</v>
      </c>
      <c r="N39" s="79"/>
      <c r="O39" s="79">
        <f>PRODUCT(M39,0/12)</f>
        <v>0</v>
      </c>
      <c r="P39" s="79"/>
      <c r="Q39" s="79">
        <f>SUM(M39,O39)</f>
        <v>44590.94</v>
      </c>
      <c r="R39" s="79"/>
      <c r="S39" s="79">
        <v>45000</v>
      </c>
      <c r="T39" s="79"/>
      <c r="U39" s="79">
        <v>20000</v>
      </c>
      <c r="V39" s="79"/>
      <c r="W39" s="79">
        <v>10000</v>
      </c>
      <c r="X39" s="79"/>
      <c r="Y39" s="79">
        <f>SUM(W39,-I39)</f>
        <v>-32500</v>
      </c>
      <c r="Z39" s="62"/>
      <c r="AA39" s="63">
        <f>IF(W39=0,"N/A",PRODUCT(Y39,1/I39))</f>
        <v>-0.76470588235294124</v>
      </c>
      <c r="AB39" s="62"/>
      <c r="AC39" s="79">
        <f>SUM(W39,-Q39)</f>
        <v>-34590.94</v>
      </c>
      <c r="AD39" s="62"/>
      <c r="AE39" s="63">
        <f>IF(W39=0,"N/A",PRODUCT(AC39,1/Q39))</f>
        <v>-0.77573919724500084</v>
      </c>
      <c r="AF39" s="57"/>
      <c r="AG39" s="57" t="s">
        <v>1007</v>
      </c>
      <c r="AH39" s="57"/>
      <c r="AI39" s="57"/>
      <c r="AJ39" s="57"/>
    </row>
    <row r="40" spans="1:36" x14ac:dyDescent="0.2">
      <c r="A40" s="64" t="s">
        <v>66</v>
      </c>
      <c r="C40" s="81">
        <f>SUM(C38:C39)</f>
        <v>29351.9</v>
      </c>
      <c r="E40" s="81">
        <f>SUM(E38:E39)</f>
        <v>42175.42</v>
      </c>
      <c r="G40" s="81">
        <f>SUM(G38:G39)</f>
        <v>79721.5</v>
      </c>
      <c r="I40" s="81">
        <f>SUM(I38:I39)</f>
        <v>77500</v>
      </c>
      <c r="K40" s="81">
        <f>SUM(K38:K39)</f>
        <v>77500</v>
      </c>
      <c r="M40" s="81">
        <f>SUM(M38:M39)</f>
        <v>83352.790000000008</v>
      </c>
      <c r="O40" s="81">
        <f>SUM(O38:O39)</f>
        <v>0</v>
      </c>
      <c r="Q40" s="81">
        <f>SUM(Q38:Q39)</f>
        <v>83352.790000000008</v>
      </c>
      <c r="S40" s="81">
        <f>SUM(S38:S39)</f>
        <v>80000</v>
      </c>
      <c r="U40" s="81">
        <f>SUM(U38:U39)</f>
        <v>35000</v>
      </c>
      <c r="W40" s="81">
        <f>SUM(W38:W39)</f>
        <v>20000</v>
      </c>
      <c r="Y40" s="81">
        <f>SUM(Y38:Y39)</f>
        <v>-57500</v>
      </c>
      <c r="Z40" s="57"/>
      <c r="AA40" s="65">
        <f>IF(W40=0,"N/A",PRODUCT(Y40,1/I40))</f>
        <v>-0.74193548387096775</v>
      </c>
      <c r="AB40" s="57"/>
      <c r="AC40" s="81">
        <f>SUM(AC38:AC39)</f>
        <v>-63352.79</v>
      </c>
      <c r="AD40" s="57"/>
      <c r="AE40" s="65">
        <f>IF(W40=0,"N/A",PRODUCT(AC40,1/Q40))</f>
        <v>-0.76005602211995538</v>
      </c>
      <c r="AF40" s="57"/>
      <c r="AG40" s="57"/>
      <c r="AH40" s="57"/>
      <c r="AI40" s="57"/>
      <c r="AJ40" s="57"/>
    </row>
    <row r="41" spans="1:36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x14ac:dyDescent="0.2">
      <c r="A42" s="54" t="s">
        <v>69</v>
      </c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A43" s="59" t="s">
        <v>71</v>
      </c>
      <c r="B43" s="60" t="s">
        <v>345</v>
      </c>
      <c r="C43" s="79">
        <v>66551.75</v>
      </c>
      <c r="D43" s="80"/>
      <c r="E43" s="79">
        <v>68342.12</v>
      </c>
      <c r="F43" s="80"/>
      <c r="G43" s="79">
        <v>63244.7</v>
      </c>
      <c r="H43" s="79"/>
      <c r="I43" s="79">
        <v>61000</v>
      </c>
      <c r="J43" s="79"/>
      <c r="K43" s="79">
        <v>61000</v>
      </c>
      <c r="L43" s="79"/>
      <c r="M43" s="79">
        <v>59075.91</v>
      </c>
      <c r="N43" s="79"/>
      <c r="O43" s="79">
        <f t="shared" ref="O43:O55" si="11">PRODUCT(M43,0/12)</f>
        <v>0</v>
      </c>
      <c r="P43" s="79"/>
      <c r="Q43" s="79">
        <f t="shared" ref="Q43:Q55" si="12">SUM(M43,O43)</f>
        <v>59075.91</v>
      </c>
      <c r="R43" s="79"/>
      <c r="S43" s="79">
        <v>65000</v>
      </c>
      <c r="T43" s="79"/>
      <c r="U43" s="79">
        <v>65000</v>
      </c>
      <c r="V43" s="79"/>
      <c r="W43" s="79">
        <v>61000</v>
      </c>
      <c r="X43" s="79"/>
      <c r="Y43" s="79">
        <f t="shared" ref="Y43:Y55" si="13">SUM(W43,-I43)</f>
        <v>0</v>
      </c>
      <c r="Z43" s="62"/>
      <c r="AA43" s="63">
        <f t="shared" ref="AA43:AA56" si="14">IF(W43=0,"N/A",PRODUCT(Y43,1/I43))</f>
        <v>0</v>
      </c>
      <c r="AB43" s="62"/>
      <c r="AC43" s="79">
        <f t="shared" ref="AC43:AC55" si="15">SUM(W43,-Q43)</f>
        <v>1924.0899999999965</v>
      </c>
      <c r="AD43" s="62"/>
      <c r="AE43" s="63">
        <f t="shared" ref="AE43:AE56" si="16">IF(W43=0,"N/A",PRODUCT(AC43,1/Q43))</f>
        <v>3.2569790291846479E-2</v>
      </c>
      <c r="AF43" s="57"/>
      <c r="AG43" s="57"/>
      <c r="AH43" s="57"/>
      <c r="AI43" s="57"/>
      <c r="AJ43" s="57"/>
    </row>
    <row r="44" spans="1:36" x14ac:dyDescent="0.2">
      <c r="A44" s="55" t="s">
        <v>72</v>
      </c>
      <c r="B44" s="56" t="s">
        <v>347</v>
      </c>
      <c r="C44" s="77">
        <v>12706</v>
      </c>
      <c r="E44" s="77">
        <v>3851.77</v>
      </c>
      <c r="G44" s="77">
        <v>7101.73</v>
      </c>
      <c r="I44" s="77">
        <v>8000</v>
      </c>
      <c r="K44" s="77">
        <v>8000</v>
      </c>
      <c r="M44" s="77">
        <v>11265.77</v>
      </c>
      <c r="O44" s="77">
        <f t="shared" si="11"/>
        <v>0</v>
      </c>
      <c r="Q44" s="77">
        <f t="shared" si="12"/>
        <v>11265.77</v>
      </c>
      <c r="S44" s="77">
        <v>8000</v>
      </c>
      <c r="U44" s="77">
        <v>53000</v>
      </c>
      <c r="W44" s="77">
        <v>8000</v>
      </c>
      <c r="Y44" s="77">
        <f t="shared" si="13"/>
        <v>0</v>
      </c>
      <c r="Z44" s="57"/>
      <c r="AA44" s="58">
        <f t="shared" si="14"/>
        <v>0</v>
      </c>
      <c r="AB44" s="57"/>
      <c r="AC44" s="77">
        <f t="shared" si="15"/>
        <v>-3265.7700000000004</v>
      </c>
      <c r="AD44" s="57"/>
      <c r="AE44" s="58">
        <f t="shared" si="16"/>
        <v>-0.28988431327818698</v>
      </c>
      <c r="AF44" s="57"/>
      <c r="AG44" s="57" t="s">
        <v>1045</v>
      </c>
      <c r="AH44" s="57"/>
      <c r="AI44" s="57"/>
      <c r="AJ44" s="57"/>
    </row>
    <row r="45" spans="1:36" x14ac:dyDescent="0.2">
      <c r="A45" s="59" t="s">
        <v>83</v>
      </c>
      <c r="B45" s="60" t="s">
        <v>227</v>
      </c>
      <c r="C45" s="79">
        <v>8402.84</v>
      </c>
      <c r="D45" s="80"/>
      <c r="E45" s="79">
        <v>100</v>
      </c>
      <c r="F45" s="80"/>
      <c r="G45" s="79">
        <v>0</v>
      </c>
      <c r="H45" s="79"/>
      <c r="I45" s="79">
        <v>0</v>
      </c>
      <c r="J45" s="79"/>
      <c r="K45" s="79">
        <v>0</v>
      </c>
      <c r="L45" s="79"/>
      <c r="M45" s="79">
        <v>0</v>
      </c>
      <c r="N45" s="79"/>
      <c r="O45" s="79">
        <f t="shared" si="11"/>
        <v>0</v>
      </c>
      <c r="P45" s="79"/>
      <c r="Q45" s="79">
        <f t="shared" si="12"/>
        <v>0</v>
      </c>
      <c r="R45" s="79"/>
      <c r="S45" s="79">
        <v>0</v>
      </c>
      <c r="T45" s="79"/>
      <c r="U45" s="79">
        <v>0</v>
      </c>
      <c r="V45" s="79"/>
      <c r="W45" s="79">
        <v>0</v>
      </c>
      <c r="X45" s="79"/>
      <c r="Y45" s="79">
        <f t="shared" si="13"/>
        <v>0</v>
      </c>
      <c r="Z45" s="62"/>
      <c r="AA45" s="63" t="str">
        <f t="shared" si="14"/>
        <v>N/A</v>
      </c>
      <c r="AB45" s="62"/>
      <c r="AC45" s="79">
        <f t="shared" si="15"/>
        <v>0</v>
      </c>
      <c r="AD45" s="62"/>
      <c r="AE45" s="63" t="str">
        <f t="shared" si="16"/>
        <v>N/A</v>
      </c>
      <c r="AF45" s="57"/>
      <c r="AG45" s="57"/>
      <c r="AH45" s="57"/>
      <c r="AI45" s="57"/>
      <c r="AJ45" s="57"/>
    </row>
    <row r="46" spans="1:36" x14ac:dyDescent="0.2">
      <c r="A46" s="55" t="s">
        <v>73</v>
      </c>
      <c r="B46" s="56" t="s">
        <v>228</v>
      </c>
      <c r="C46" s="77">
        <v>507.7</v>
      </c>
      <c r="E46" s="77">
        <v>625.36</v>
      </c>
      <c r="G46" s="77">
        <v>1218.48</v>
      </c>
      <c r="I46" s="77">
        <v>1250</v>
      </c>
      <c r="K46" s="77">
        <v>1250</v>
      </c>
      <c r="M46" s="77">
        <v>1135.1500000000001</v>
      </c>
      <c r="O46" s="77">
        <f t="shared" si="11"/>
        <v>0</v>
      </c>
      <c r="Q46" s="77">
        <f t="shared" si="12"/>
        <v>1135.1500000000001</v>
      </c>
      <c r="S46" s="77">
        <v>1200</v>
      </c>
      <c r="U46" s="77">
        <v>1500</v>
      </c>
      <c r="W46" s="77">
        <v>1250</v>
      </c>
      <c r="Y46" s="77">
        <f t="shared" si="13"/>
        <v>0</v>
      </c>
      <c r="Z46" s="57"/>
      <c r="AA46" s="58">
        <f t="shared" si="14"/>
        <v>0</v>
      </c>
      <c r="AB46" s="57"/>
      <c r="AC46" s="77">
        <f t="shared" si="15"/>
        <v>114.84999999999991</v>
      </c>
      <c r="AD46" s="57"/>
      <c r="AE46" s="58">
        <f t="shared" si="16"/>
        <v>0.10117605602783764</v>
      </c>
      <c r="AF46" s="57"/>
      <c r="AG46" s="57"/>
      <c r="AH46" s="57"/>
      <c r="AI46" s="57"/>
      <c r="AJ46" s="57"/>
    </row>
    <row r="47" spans="1:36" x14ac:dyDescent="0.2">
      <c r="A47" s="59" t="s">
        <v>74</v>
      </c>
      <c r="B47" s="60" t="s">
        <v>351</v>
      </c>
      <c r="C47" s="79">
        <v>19827.73</v>
      </c>
      <c r="D47" s="80"/>
      <c r="E47" s="79">
        <v>25725.51</v>
      </c>
      <c r="F47" s="80"/>
      <c r="G47" s="79">
        <v>29607.18</v>
      </c>
      <c r="H47" s="79"/>
      <c r="I47" s="79">
        <v>26000</v>
      </c>
      <c r="J47" s="79"/>
      <c r="K47" s="79">
        <v>26000</v>
      </c>
      <c r="L47" s="79"/>
      <c r="M47" s="79">
        <v>39490.58</v>
      </c>
      <c r="N47" s="79"/>
      <c r="O47" s="79">
        <f t="shared" si="11"/>
        <v>0</v>
      </c>
      <c r="P47" s="79"/>
      <c r="Q47" s="79">
        <f t="shared" si="12"/>
        <v>39490.58</v>
      </c>
      <c r="R47" s="79"/>
      <c r="S47" s="79">
        <v>27500</v>
      </c>
      <c r="T47" s="79"/>
      <c r="U47" s="79">
        <v>27500</v>
      </c>
      <c r="V47" s="79"/>
      <c r="W47" s="79">
        <v>27500</v>
      </c>
      <c r="X47" s="79"/>
      <c r="Y47" s="79">
        <f t="shared" si="13"/>
        <v>1500</v>
      </c>
      <c r="Z47" s="62"/>
      <c r="AA47" s="63">
        <f t="shared" si="14"/>
        <v>5.7692307692307696E-2</v>
      </c>
      <c r="AB47" s="62"/>
      <c r="AC47" s="79">
        <f t="shared" si="15"/>
        <v>-11990.580000000002</v>
      </c>
      <c r="AD47" s="62"/>
      <c r="AE47" s="63">
        <f t="shared" si="16"/>
        <v>-0.30363139766496217</v>
      </c>
      <c r="AF47" s="57"/>
      <c r="AG47" s="57"/>
      <c r="AH47" s="57"/>
      <c r="AI47" s="57"/>
      <c r="AJ47" s="57"/>
    </row>
    <row r="48" spans="1:36" x14ac:dyDescent="0.2">
      <c r="A48" s="55" t="s">
        <v>75</v>
      </c>
      <c r="B48" s="56" t="s">
        <v>1299</v>
      </c>
      <c r="C48" s="77">
        <v>42227.519999999997</v>
      </c>
      <c r="E48" s="77">
        <v>36090.230000000003</v>
      </c>
      <c r="G48" s="77">
        <v>44760.97</v>
      </c>
      <c r="I48" s="77">
        <v>42000</v>
      </c>
      <c r="K48" s="77">
        <v>42000</v>
      </c>
      <c r="M48" s="77">
        <v>51312.85</v>
      </c>
      <c r="O48" s="77">
        <f t="shared" si="11"/>
        <v>0</v>
      </c>
      <c r="Q48" s="77">
        <f t="shared" si="12"/>
        <v>51312.85</v>
      </c>
      <c r="S48" s="77">
        <v>42500</v>
      </c>
      <c r="U48" s="77">
        <v>60000</v>
      </c>
      <c r="W48" s="77">
        <v>60000</v>
      </c>
      <c r="Y48" s="77">
        <f t="shared" si="13"/>
        <v>18000</v>
      </c>
      <c r="Z48" s="57"/>
      <c r="AA48" s="58">
        <f t="shared" si="14"/>
        <v>0.4285714285714286</v>
      </c>
      <c r="AB48" s="57"/>
      <c r="AC48" s="77">
        <f t="shared" si="15"/>
        <v>8687.1500000000015</v>
      </c>
      <c r="AD48" s="57"/>
      <c r="AE48" s="58">
        <f t="shared" si="16"/>
        <v>0.16929774900439171</v>
      </c>
      <c r="AF48" s="57"/>
      <c r="AG48" s="57" t="s">
        <v>1009</v>
      </c>
      <c r="AH48" s="57"/>
      <c r="AI48" s="57"/>
      <c r="AJ48" s="57"/>
    </row>
    <row r="49" spans="1:36" x14ac:dyDescent="0.2">
      <c r="A49" s="59" t="s">
        <v>76</v>
      </c>
      <c r="B49" s="60" t="s">
        <v>504</v>
      </c>
      <c r="C49" s="79">
        <v>83.96</v>
      </c>
      <c r="D49" s="80"/>
      <c r="E49" s="79">
        <v>40.5</v>
      </c>
      <c r="F49" s="80"/>
      <c r="G49" s="79">
        <v>0</v>
      </c>
      <c r="H49" s="79"/>
      <c r="I49" s="79">
        <v>0</v>
      </c>
      <c r="J49" s="79"/>
      <c r="K49" s="79">
        <v>0</v>
      </c>
      <c r="L49" s="79"/>
      <c r="M49" s="79">
        <v>0</v>
      </c>
      <c r="N49" s="79"/>
      <c r="O49" s="79">
        <f t="shared" si="11"/>
        <v>0</v>
      </c>
      <c r="P49" s="79"/>
      <c r="Q49" s="79">
        <f t="shared" si="12"/>
        <v>0</v>
      </c>
      <c r="R49" s="79"/>
      <c r="S49" s="79">
        <v>0</v>
      </c>
      <c r="T49" s="79"/>
      <c r="U49" s="79"/>
      <c r="V49" s="79"/>
      <c r="W49" s="79">
        <v>0</v>
      </c>
      <c r="X49" s="79"/>
      <c r="Y49" s="79">
        <f t="shared" si="13"/>
        <v>0</v>
      </c>
      <c r="Z49" s="62"/>
      <c r="AA49" s="63" t="str">
        <f t="shared" si="14"/>
        <v>N/A</v>
      </c>
      <c r="AB49" s="62"/>
      <c r="AC49" s="79">
        <f t="shared" si="15"/>
        <v>0</v>
      </c>
      <c r="AD49" s="62"/>
      <c r="AE49" s="63" t="str">
        <f t="shared" si="16"/>
        <v>N/A</v>
      </c>
      <c r="AF49" s="57"/>
      <c r="AG49" s="57"/>
      <c r="AH49" s="57"/>
      <c r="AI49" s="57"/>
      <c r="AJ49" s="57"/>
    </row>
    <row r="50" spans="1:36" x14ac:dyDescent="0.2">
      <c r="A50" s="55" t="s">
        <v>77</v>
      </c>
      <c r="B50" s="56" t="s">
        <v>217</v>
      </c>
      <c r="C50" s="77">
        <v>1099.7</v>
      </c>
      <c r="E50" s="77">
        <v>2575.25</v>
      </c>
      <c r="G50" s="77">
        <v>3474.68</v>
      </c>
      <c r="I50" s="77">
        <v>3500</v>
      </c>
      <c r="K50" s="77">
        <v>4000</v>
      </c>
      <c r="M50" s="77">
        <v>3540.44</v>
      </c>
      <c r="O50" s="77">
        <f t="shared" si="11"/>
        <v>0</v>
      </c>
      <c r="Q50" s="77">
        <f t="shared" si="12"/>
        <v>3540.44</v>
      </c>
      <c r="S50" s="77">
        <v>4000</v>
      </c>
      <c r="U50" s="77">
        <v>3750</v>
      </c>
      <c r="W50" s="77">
        <v>4000</v>
      </c>
      <c r="Y50" s="77">
        <f t="shared" si="13"/>
        <v>500</v>
      </c>
      <c r="Z50" s="57"/>
      <c r="AA50" s="58">
        <f t="shared" si="14"/>
        <v>0.14285714285714288</v>
      </c>
      <c r="AB50" s="57"/>
      <c r="AC50" s="77">
        <f t="shared" si="15"/>
        <v>459.55999999999995</v>
      </c>
      <c r="AD50" s="57"/>
      <c r="AE50" s="58">
        <f t="shared" si="16"/>
        <v>0.12980307532397101</v>
      </c>
      <c r="AF50" s="57"/>
      <c r="AG50" s="57"/>
      <c r="AH50" s="57"/>
      <c r="AI50" s="57"/>
      <c r="AJ50" s="57"/>
    </row>
    <row r="51" spans="1:36" x14ac:dyDescent="0.2">
      <c r="A51" s="59" t="s">
        <v>78</v>
      </c>
      <c r="B51" s="60" t="s">
        <v>248</v>
      </c>
      <c r="C51" s="79">
        <v>749055.12</v>
      </c>
      <c r="D51" s="80"/>
      <c r="E51" s="79">
        <v>551892.72</v>
      </c>
      <c r="F51" s="80"/>
      <c r="G51" s="79">
        <v>618249.96</v>
      </c>
      <c r="H51" s="79"/>
      <c r="I51" s="79">
        <v>660500</v>
      </c>
      <c r="J51" s="79"/>
      <c r="K51" s="79">
        <v>660500</v>
      </c>
      <c r="L51" s="79"/>
      <c r="M51" s="79">
        <v>660499.92000000004</v>
      </c>
      <c r="N51" s="79"/>
      <c r="O51" s="79">
        <f t="shared" si="11"/>
        <v>0</v>
      </c>
      <c r="P51" s="79"/>
      <c r="Q51" s="79">
        <f t="shared" si="12"/>
        <v>660499.92000000004</v>
      </c>
      <c r="R51" s="79"/>
      <c r="S51" s="79">
        <v>0</v>
      </c>
      <c r="T51" s="79"/>
      <c r="U51" s="79">
        <v>0</v>
      </c>
      <c r="V51" s="79"/>
      <c r="W51" s="79">
        <v>0</v>
      </c>
      <c r="X51" s="79"/>
      <c r="Y51" s="79">
        <f t="shared" si="13"/>
        <v>-660500</v>
      </c>
      <c r="Z51" s="62"/>
      <c r="AA51" s="63" t="str">
        <f t="shared" si="14"/>
        <v>N/A</v>
      </c>
      <c r="AB51" s="62"/>
      <c r="AC51" s="79">
        <f t="shared" si="15"/>
        <v>-660499.92000000004</v>
      </c>
      <c r="AD51" s="62"/>
      <c r="AE51" s="63" t="str">
        <f t="shared" si="16"/>
        <v>N/A</v>
      </c>
      <c r="AF51" s="57"/>
      <c r="AG51" s="57"/>
      <c r="AH51" s="57"/>
      <c r="AI51" s="57"/>
      <c r="AJ51" s="57"/>
    </row>
    <row r="52" spans="1:36" x14ac:dyDescent="0.2">
      <c r="A52" s="55" t="s">
        <v>79</v>
      </c>
      <c r="B52" s="56" t="s">
        <v>505</v>
      </c>
      <c r="C52" s="77">
        <v>0</v>
      </c>
      <c r="E52" s="77">
        <v>0</v>
      </c>
      <c r="G52" s="77">
        <v>3602.1</v>
      </c>
      <c r="I52" s="77">
        <v>0</v>
      </c>
      <c r="K52" s="77">
        <v>0</v>
      </c>
      <c r="M52" s="77">
        <v>0</v>
      </c>
      <c r="O52" s="77">
        <f t="shared" si="11"/>
        <v>0</v>
      </c>
      <c r="Q52" s="77">
        <f t="shared" si="12"/>
        <v>0</v>
      </c>
      <c r="S52" s="77">
        <v>0</v>
      </c>
      <c r="U52" s="77">
        <v>0</v>
      </c>
      <c r="W52" s="77">
        <v>0</v>
      </c>
      <c r="Y52" s="77">
        <f t="shared" si="13"/>
        <v>0</v>
      </c>
      <c r="Z52" s="57"/>
      <c r="AA52" s="58" t="str">
        <f t="shared" si="14"/>
        <v>N/A</v>
      </c>
      <c r="AB52" s="57"/>
      <c r="AC52" s="77">
        <f t="shared" si="15"/>
        <v>0</v>
      </c>
      <c r="AD52" s="57"/>
      <c r="AE52" s="58" t="str">
        <f t="shared" si="16"/>
        <v>N/A</v>
      </c>
      <c r="AF52" s="57"/>
      <c r="AG52" s="57" t="s">
        <v>1128</v>
      </c>
      <c r="AH52" s="57"/>
      <c r="AI52" s="57"/>
      <c r="AJ52" s="57"/>
    </row>
    <row r="53" spans="1:36" x14ac:dyDescent="0.2">
      <c r="A53" s="59" t="s">
        <v>80</v>
      </c>
      <c r="B53" s="60" t="s">
        <v>506</v>
      </c>
      <c r="C53" s="79">
        <v>1464553.94</v>
      </c>
      <c r="D53" s="80"/>
      <c r="E53" s="79">
        <v>1528870.99</v>
      </c>
      <c r="F53" s="80"/>
      <c r="G53" s="79">
        <v>1756293.37</v>
      </c>
      <c r="H53" s="79"/>
      <c r="I53" s="79">
        <v>0</v>
      </c>
      <c r="J53" s="79"/>
      <c r="K53" s="79">
        <v>0</v>
      </c>
      <c r="L53" s="79"/>
      <c r="M53" s="79">
        <v>0</v>
      </c>
      <c r="N53" s="79"/>
      <c r="O53" s="79">
        <f t="shared" si="11"/>
        <v>0</v>
      </c>
      <c r="P53" s="79"/>
      <c r="Q53" s="79">
        <f t="shared" si="12"/>
        <v>0</v>
      </c>
      <c r="R53" s="79"/>
      <c r="S53" s="79">
        <v>0</v>
      </c>
      <c r="T53" s="79"/>
      <c r="U53" s="79">
        <v>0</v>
      </c>
      <c r="V53" s="79"/>
      <c r="W53" s="79">
        <v>0</v>
      </c>
      <c r="X53" s="79"/>
      <c r="Y53" s="79">
        <f t="shared" si="13"/>
        <v>0</v>
      </c>
      <c r="Z53" s="62"/>
      <c r="AA53" s="63" t="str">
        <f t="shared" si="14"/>
        <v>N/A</v>
      </c>
      <c r="AB53" s="62"/>
      <c r="AC53" s="79">
        <f t="shared" si="15"/>
        <v>0</v>
      </c>
      <c r="AD53" s="62"/>
      <c r="AE53" s="63" t="str">
        <f t="shared" si="16"/>
        <v>N/A</v>
      </c>
      <c r="AF53" s="57"/>
      <c r="AG53" s="57" t="s">
        <v>1128</v>
      </c>
      <c r="AH53" s="57"/>
      <c r="AI53" s="57"/>
      <c r="AJ53" s="57"/>
    </row>
    <row r="54" spans="1:36" x14ac:dyDescent="0.2">
      <c r="A54" s="55" t="s">
        <v>85</v>
      </c>
      <c r="B54" s="56" t="s">
        <v>574</v>
      </c>
      <c r="C54" s="77">
        <v>-49738.23</v>
      </c>
      <c r="E54" s="77">
        <v>0</v>
      </c>
      <c r="G54" s="77">
        <v>0</v>
      </c>
      <c r="I54" s="77">
        <v>0</v>
      </c>
      <c r="K54" s="77">
        <v>0</v>
      </c>
      <c r="M54" s="77">
        <v>0</v>
      </c>
      <c r="O54" s="77">
        <f t="shared" si="11"/>
        <v>0</v>
      </c>
      <c r="Q54" s="77">
        <f t="shared" si="12"/>
        <v>0</v>
      </c>
      <c r="S54" s="77">
        <v>0</v>
      </c>
      <c r="U54" s="77">
        <v>0</v>
      </c>
      <c r="W54" s="77">
        <v>0</v>
      </c>
      <c r="Y54" s="77">
        <f t="shared" si="13"/>
        <v>0</v>
      </c>
      <c r="Z54" s="57"/>
      <c r="AA54" s="58" t="str">
        <f t="shared" si="14"/>
        <v>N/A</v>
      </c>
      <c r="AB54" s="57"/>
      <c r="AC54" s="77">
        <f t="shared" si="15"/>
        <v>0</v>
      </c>
      <c r="AD54" s="57"/>
      <c r="AE54" s="58" t="str">
        <f t="shared" si="16"/>
        <v>N/A</v>
      </c>
      <c r="AF54" s="57"/>
      <c r="AG54" s="57" t="s">
        <v>1128</v>
      </c>
      <c r="AH54" s="57"/>
      <c r="AI54" s="57"/>
      <c r="AJ54" s="57"/>
    </row>
    <row r="55" spans="1:36" x14ac:dyDescent="0.2">
      <c r="A55" s="59" t="s">
        <v>84</v>
      </c>
      <c r="B55" s="60" t="s">
        <v>507</v>
      </c>
      <c r="C55" s="79">
        <v>213</v>
      </c>
      <c r="D55" s="80"/>
      <c r="E55" s="79">
        <v>0</v>
      </c>
      <c r="F55" s="80"/>
      <c r="G55" s="79">
        <v>0</v>
      </c>
      <c r="H55" s="79"/>
      <c r="I55" s="79">
        <v>0</v>
      </c>
      <c r="J55" s="79"/>
      <c r="K55" s="79">
        <v>0</v>
      </c>
      <c r="L55" s="79"/>
      <c r="M55" s="79">
        <v>0</v>
      </c>
      <c r="N55" s="79"/>
      <c r="O55" s="79">
        <f t="shared" si="11"/>
        <v>0</v>
      </c>
      <c r="P55" s="79"/>
      <c r="Q55" s="79">
        <f t="shared" si="12"/>
        <v>0</v>
      </c>
      <c r="R55" s="79"/>
      <c r="S55" s="79">
        <v>0</v>
      </c>
      <c r="T55" s="79"/>
      <c r="U55" s="79">
        <v>0</v>
      </c>
      <c r="V55" s="79"/>
      <c r="W55" s="79">
        <v>0</v>
      </c>
      <c r="X55" s="79"/>
      <c r="Y55" s="79">
        <f t="shared" si="13"/>
        <v>0</v>
      </c>
      <c r="Z55" s="62"/>
      <c r="AA55" s="63" t="str">
        <f t="shared" si="14"/>
        <v>N/A</v>
      </c>
      <c r="AB55" s="62"/>
      <c r="AC55" s="79">
        <f t="shared" si="15"/>
        <v>0</v>
      </c>
      <c r="AD55" s="62"/>
      <c r="AE55" s="63" t="str">
        <f t="shared" si="16"/>
        <v>N/A</v>
      </c>
      <c r="AF55" s="57"/>
      <c r="AG55" s="57" t="s">
        <v>1128</v>
      </c>
      <c r="AH55" s="57"/>
      <c r="AI55" s="57"/>
      <c r="AJ55" s="57"/>
    </row>
    <row r="56" spans="1:36" x14ac:dyDescent="0.2">
      <c r="A56" s="64" t="s">
        <v>70</v>
      </c>
      <c r="C56" s="81">
        <f>SUM(C43:C55)</f>
        <v>2315491.0299999998</v>
      </c>
      <c r="E56" s="81">
        <f>SUM(E43:E55)</f>
        <v>2218114.4500000002</v>
      </c>
      <c r="F56" s="77"/>
      <c r="G56" s="81">
        <f>SUM(G43:G55)</f>
        <v>2527553.17</v>
      </c>
      <c r="I56" s="81">
        <f>SUM(I43:I55)</f>
        <v>802250</v>
      </c>
      <c r="K56" s="81">
        <f>SUM(K43:K55)</f>
        <v>802750</v>
      </c>
      <c r="M56" s="81">
        <f>SUM(M43:M55)</f>
        <v>826320.62000000011</v>
      </c>
      <c r="O56" s="81">
        <f>SUM(O43:O55)</f>
        <v>0</v>
      </c>
      <c r="Q56" s="81">
        <f>SUM(Q43:Q55)</f>
        <v>826320.62000000011</v>
      </c>
      <c r="S56" s="81">
        <f>SUM(S43:S55)</f>
        <v>148200</v>
      </c>
      <c r="U56" s="81">
        <f>SUM(U43:U55)</f>
        <v>210750</v>
      </c>
      <c r="W56" s="81">
        <f>SUM(W43:W55)</f>
        <v>161750</v>
      </c>
      <c r="Y56" s="81">
        <f>SUM(Y43:Y55)</f>
        <v>-640500</v>
      </c>
      <c r="Z56" s="57"/>
      <c r="AA56" s="65">
        <f t="shared" si="14"/>
        <v>-0.79837955749454659</v>
      </c>
      <c r="AB56" s="57"/>
      <c r="AC56" s="81">
        <f>SUM(AC43:AC55)</f>
        <v>-664570.62</v>
      </c>
      <c r="AD56" s="57"/>
      <c r="AE56" s="65">
        <f t="shared" si="16"/>
        <v>-0.80425273666775976</v>
      </c>
      <c r="AF56" s="57"/>
      <c r="AG56" s="57"/>
      <c r="AH56" s="57"/>
      <c r="AI56" s="57"/>
      <c r="AJ56" s="57"/>
    </row>
    <row r="57" spans="1:36" x14ac:dyDescent="0.2">
      <c r="Z57" s="57"/>
      <c r="AB57" s="57"/>
      <c r="AD57" s="57"/>
      <c r="AF57" s="57"/>
      <c r="AG57" s="57"/>
      <c r="AH57" s="57"/>
      <c r="AI57" s="57"/>
      <c r="AJ57" s="57"/>
    </row>
    <row r="58" spans="1:36" ht="13.5" thickBot="1" x14ac:dyDescent="0.25">
      <c r="A58" s="67" t="s">
        <v>81</v>
      </c>
      <c r="C58" s="83">
        <f>SUM(C13,C35,C40,C56)</f>
        <v>3517050.0599999996</v>
      </c>
      <c r="E58" s="83">
        <f>SUM(E13,E35,E40,E56)</f>
        <v>3523822.5500000003</v>
      </c>
      <c r="G58" s="83">
        <f>SUM(G13,G35,G40,G56)</f>
        <v>4094123.1399999997</v>
      </c>
      <c r="I58" s="83">
        <f>SUM(I13,I35,I40,I56)</f>
        <v>2393150</v>
      </c>
      <c r="K58" s="83">
        <f>SUM(K13,K35,K40,K56)</f>
        <v>2393150</v>
      </c>
      <c r="M58" s="82">
        <f>SUM(M13,M35,M40,M56)</f>
        <v>2297769.2800000003</v>
      </c>
      <c r="O58" s="82">
        <f>SUM(O13,O35,O40,O56)</f>
        <v>0</v>
      </c>
      <c r="Q58" s="83">
        <f>SUM(Q13,Q35,Q40,Q56)</f>
        <v>2297769.2800000003</v>
      </c>
      <c r="S58" s="82">
        <f>SUM(S13,S35,S40,S56)</f>
        <v>1714400</v>
      </c>
      <c r="U58" s="82">
        <f>SUM(U13,U35,U40,U56)</f>
        <v>1792250</v>
      </c>
      <c r="W58" s="83">
        <f>SUM(W13,W35,W40,W56)</f>
        <v>1787450</v>
      </c>
      <c r="Y58" s="82">
        <f>SUM(Y13,Y35,Y40,Y56)</f>
        <v>-605700</v>
      </c>
      <c r="Z58" s="57"/>
      <c r="AA58" s="125">
        <f>IF(W58=0,"N/A",PRODUCT(Y58,1/I58))</f>
        <v>-0.25309738211144311</v>
      </c>
      <c r="AB58" s="57"/>
      <c r="AC58" s="82">
        <f>SUM(AC13,AC35,AC40,AC56)</f>
        <v>-510319.27999999991</v>
      </c>
      <c r="AD58" s="57"/>
      <c r="AE58" s="125">
        <f>IF(W58=0,"N/A",PRODUCT(AC58,1/Q58))</f>
        <v>-0.2220933513394347</v>
      </c>
      <c r="AF58" s="57"/>
      <c r="AG58" s="57"/>
      <c r="AH58" s="57"/>
      <c r="AI58" s="57"/>
      <c r="AJ58" s="57"/>
    </row>
    <row r="59" spans="1:36" ht="13.5" thickTop="1" x14ac:dyDescent="0.2">
      <c r="Z59" s="57"/>
      <c r="AB59" s="57"/>
      <c r="AD59" s="57"/>
      <c r="AF59" s="57"/>
      <c r="AG59" s="57"/>
      <c r="AH59" s="57"/>
      <c r="AI59" s="57"/>
      <c r="AJ59" s="57"/>
    </row>
    <row r="60" spans="1:36" x14ac:dyDescent="0.2">
      <c r="Z60" s="57"/>
      <c r="AB60" s="57"/>
      <c r="AD60" s="57"/>
      <c r="AF60" s="57"/>
      <c r="AG60" s="57"/>
      <c r="AH60" s="57"/>
      <c r="AI60" s="57"/>
      <c r="AJ60" s="57"/>
    </row>
    <row r="61" spans="1:36" x14ac:dyDescent="0.2">
      <c r="Z61" s="57"/>
      <c r="AB61" s="57"/>
      <c r="AD61" s="57"/>
      <c r="AF61" s="57"/>
      <c r="AG61" s="57"/>
      <c r="AH61" s="57"/>
      <c r="AI61" s="57"/>
      <c r="AJ61" s="57"/>
    </row>
    <row r="62" spans="1:36" x14ac:dyDescent="0.2">
      <c r="Z62" s="57"/>
      <c r="AB62" s="57"/>
      <c r="AD62" s="57"/>
      <c r="AF62" s="57"/>
      <c r="AG62" s="57"/>
      <c r="AH62" s="57"/>
      <c r="AI62" s="57"/>
      <c r="AJ62" s="57"/>
    </row>
    <row r="63" spans="1:36" x14ac:dyDescent="0.2">
      <c r="Z63" s="57"/>
      <c r="AB63" s="57"/>
      <c r="AD63" s="57"/>
      <c r="AF63" s="57"/>
      <c r="AG63" s="57"/>
      <c r="AH63" s="57"/>
      <c r="AI63" s="57"/>
      <c r="AJ63" s="57"/>
    </row>
    <row r="64" spans="1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G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G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G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G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G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G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G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G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G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G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G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G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G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G113" s="57"/>
      <c r="AH113" s="57"/>
      <c r="AI113" s="57"/>
      <c r="AJ113" s="57"/>
    </row>
    <row r="114" spans="26:36" x14ac:dyDescent="0.2">
      <c r="Z114" s="57"/>
      <c r="AB114" s="57"/>
      <c r="AD114" s="57"/>
      <c r="AF114" s="57"/>
      <c r="AG114" s="57"/>
      <c r="AH114" s="57"/>
      <c r="AI114" s="57"/>
      <c r="AJ114" s="57"/>
    </row>
    <row r="115" spans="26:36" x14ac:dyDescent="0.2">
      <c r="Z115" s="57"/>
      <c r="AB115" s="57"/>
      <c r="AD115" s="57"/>
      <c r="AF115" s="57"/>
      <c r="AG115" s="57"/>
      <c r="AH115" s="57"/>
      <c r="AI115" s="57"/>
      <c r="AJ115" s="57"/>
    </row>
    <row r="116" spans="26:36" x14ac:dyDescent="0.2">
      <c r="Z116" s="57"/>
      <c r="AB116" s="57"/>
      <c r="AD116" s="57"/>
      <c r="AF116" s="57"/>
      <c r="AG116" s="57"/>
      <c r="AH116" s="57"/>
      <c r="AI116" s="57"/>
      <c r="AJ116" s="57"/>
    </row>
    <row r="117" spans="26:36" x14ac:dyDescent="0.2">
      <c r="Z117" s="57"/>
      <c r="AB117" s="57"/>
      <c r="AD117" s="57"/>
      <c r="AF117" s="57"/>
      <c r="AG117" s="57"/>
      <c r="AH117" s="57"/>
      <c r="AI117" s="57"/>
      <c r="AJ117" s="57"/>
    </row>
    <row r="118" spans="26:36" x14ac:dyDescent="0.2">
      <c r="Z118" s="57"/>
      <c r="AB118" s="57"/>
      <c r="AD118" s="57"/>
      <c r="AF118" s="57"/>
      <c r="AG118" s="57"/>
      <c r="AH118" s="57"/>
      <c r="AI118" s="57"/>
      <c r="AJ118" s="57"/>
    </row>
    <row r="119" spans="26:36" x14ac:dyDescent="0.2">
      <c r="Z119" s="57"/>
      <c r="AB119" s="57"/>
      <c r="AD119" s="57"/>
      <c r="AF119" s="57"/>
      <c r="AG119" s="57"/>
      <c r="AH119" s="57"/>
      <c r="AI119" s="57"/>
      <c r="AJ119" s="57"/>
    </row>
    <row r="120" spans="26:36" x14ac:dyDescent="0.2">
      <c r="Z120" s="57"/>
      <c r="AB120" s="57"/>
      <c r="AD120" s="57"/>
      <c r="AF120" s="57"/>
      <c r="AG120" s="57"/>
      <c r="AH120" s="57"/>
      <c r="AI120" s="57"/>
      <c r="AJ120" s="57"/>
    </row>
    <row r="121" spans="26:36" x14ac:dyDescent="0.2">
      <c r="Z121" s="57"/>
      <c r="AB121" s="57"/>
      <c r="AD121" s="57"/>
      <c r="AF121" s="57"/>
      <c r="AG121" s="57"/>
      <c r="AH121" s="57"/>
      <c r="AI121" s="57"/>
      <c r="AJ121" s="57"/>
    </row>
    <row r="122" spans="26:36" x14ac:dyDescent="0.2">
      <c r="Z122" s="57"/>
      <c r="AB122" s="57"/>
      <c r="AD122" s="57"/>
      <c r="AF122" s="57"/>
      <c r="AG122" s="57"/>
      <c r="AH122" s="57"/>
      <c r="AI122" s="57"/>
      <c r="AJ122" s="57"/>
    </row>
    <row r="123" spans="26:36" x14ac:dyDescent="0.2">
      <c r="Z123" s="57"/>
      <c r="AB123" s="57"/>
      <c r="AD123" s="57"/>
      <c r="AF123" s="57"/>
      <c r="AG123" s="57"/>
      <c r="AH123" s="57"/>
      <c r="AI123" s="57"/>
      <c r="AJ123" s="57"/>
    </row>
    <row r="124" spans="26:36" x14ac:dyDescent="0.2">
      <c r="Z124" s="57"/>
      <c r="AB124" s="57"/>
      <c r="AD124" s="57"/>
      <c r="AF124" s="57"/>
      <c r="AG124" s="57"/>
      <c r="AH124" s="57"/>
      <c r="AI124" s="57"/>
      <c r="AJ124" s="57"/>
    </row>
    <row r="125" spans="26:36" x14ac:dyDescent="0.2">
      <c r="Z125" s="57"/>
      <c r="AB125" s="57"/>
      <c r="AD125" s="57"/>
      <c r="AF125" s="57"/>
      <c r="AG125" s="57"/>
      <c r="AH125" s="57"/>
      <c r="AI125" s="57"/>
      <c r="AJ125" s="57"/>
    </row>
    <row r="126" spans="26:36" x14ac:dyDescent="0.2">
      <c r="Z126" s="57"/>
      <c r="AB126" s="57"/>
      <c r="AD126" s="57"/>
      <c r="AF126" s="57"/>
      <c r="AG126" s="57"/>
      <c r="AH126" s="57"/>
      <c r="AI126" s="57"/>
      <c r="AJ126" s="57"/>
    </row>
  </sheetData>
  <pageMargins left="0.25" right="0.25" top="0.75" bottom="0.75" header="0.3" footer="0.3"/>
  <pageSetup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BD07-DC8F-4DDC-8238-9018FD0FC98D}">
  <sheetPr>
    <tabColor rgb="FF92D050"/>
  </sheetPr>
  <dimension ref="A1:AJ109"/>
  <sheetViews>
    <sheetView showGridLines="0" workbookViewId="0">
      <pane xSplit="2" ySplit="3" topLeftCell="I4" activePane="bottomRight" state="frozen"/>
      <selection activeCell="AG19" sqref="AG19"/>
      <selection pane="topRight" activeCell="AG19" sqref="AG19"/>
      <selection pane="bottomLeft" activeCell="AG19" sqref="AG19"/>
      <selection pane="bottomRight" activeCell="AG19" sqref="AG19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86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9" t="s">
        <v>88</v>
      </c>
      <c r="B6" s="60" t="s">
        <v>219</v>
      </c>
      <c r="C6" s="79">
        <v>189515.34</v>
      </c>
      <c r="D6" s="80"/>
      <c r="E6" s="79">
        <v>234169.01</v>
      </c>
      <c r="F6" s="80"/>
      <c r="G6" s="79">
        <v>233385.4</v>
      </c>
      <c r="H6" s="79"/>
      <c r="I6" s="79">
        <v>296650</v>
      </c>
      <c r="J6" s="79"/>
      <c r="K6" s="79">
        <v>276650</v>
      </c>
      <c r="L6" s="79"/>
      <c r="M6" s="79">
        <v>294618.38</v>
      </c>
      <c r="N6" s="79"/>
      <c r="O6" s="79">
        <f>PRODUCT(M6,0/12)</f>
        <v>0</v>
      </c>
      <c r="P6" s="79"/>
      <c r="Q6" s="79">
        <f t="shared" ref="Q6:Q12" si="0">SUM(M6,O6)</f>
        <v>294618.38</v>
      </c>
      <c r="R6" s="79"/>
      <c r="S6" s="79">
        <v>340000</v>
      </c>
      <c r="T6" s="79"/>
      <c r="U6" s="79">
        <v>340000</v>
      </c>
      <c r="V6" s="79"/>
      <c r="W6" s="79">
        <v>340000</v>
      </c>
      <c r="X6" s="79"/>
      <c r="Y6" s="79">
        <f t="shared" ref="Y6:Y12" si="1">SUM(W6,-I6)</f>
        <v>43350</v>
      </c>
      <c r="Z6" s="62"/>
      <c r="AA6" s="63">
        <f>IF(W6=0,"N/A",PRODUCT(Y6,1/I6))</f>
        <v>0.14613180515759314</v>
      </c>
      <c r="AB6" s="62"/>
      <c r="AC6" s="79">
        <f t="shared" ref="AC6:AC12" si="2">SUM(W6,-Q6)</f>
        <v>45381.619999999995</v>
      </c>
      <c r="AD6" s="62"/>
      <c r="AE6" s="63">
        <f>IF(W6=0,"N/A",PRODUCT(AC6,1/Q6))</f>
        <v>0.15403526419499011</v>
      </c>
      <c r="AF6" s="57"/>
      <c r="AG6" s="57" t="s">
        <v>1015</v>
      </c>
      <c r="AH6" s="57"/>
      <c r="AI6" s="57"/>
      <c r="AJ6" s="57"/>
    </row>
    <row r="7" spans="1:36" x14ac:dyDescent="0.2">
      <c r="A7" s="55" t="s">
        <v>89</v>
      </c>
      <c r="B7" s="56" t="s">
        <v>220</v>
      </c>
      <c r="C7" s="77">
        <v>36639.589999999997</v>
      </c>
      <c r="E7" s="77">
        <v>46558.83</v>
      </c>
      <c r="G7" s="77">
        <v>47143.68</v>
      </c>
      <c r="I7" s="77">
        <v>40000</v>
      </c>
      <c r="K7" s="77">
        <v>40000</v>
      </c>
      <c r="M7" s="77">
        <v>34903.550000000003</v>
      </c>
      <c r="O7" s="77">
        <f>PRODUCT(M7,0/12)</f>
        <v>0</v>
      </c>
      <c r="Q7" s="77">
        <f t="shared" si="0"/>
        <v>34903.550000000003</v>
      </c>
      <c r="S7" s="77">
        <v>40000</v>
      </c>
      <c r="U7" s="77">
        <v>40000</v>
      </c>
      <c r="W7" s="77">
        <v>40000</v>
      </c>
      <c r="Y7" s="77">
        <f t="shared" si="1"/>
        <v>0</v>
      </c>
      <c r="Z7" s="57"/>
      <c r="AA7" s="58">
        <f t="shared" ref="AA7:AA13" si="3">IF(W7=0,"N/A",PRODUCT(Y7,1/I7))</f>
        <v>0</v>
      </c>
      <c r="AB7" s="57"/>
      <c r="AC7" s="77">
        <f t="shared" si="2"/>
        <v>5096.4499999999971</v>
      </c>
      <c r="AD7" s="57"/>
      <c r="AE7" s="58">
        <f t="shared" ref="AE7:AE13" si="4">IF(W7=0,"N/A",PRODUCT(AC7,1/Q7))</f>
        <v>0.14601523340748998</v>
      </c>
      <c r="AF7" s="57"/>
      <c r="AG7" s="57"/>
      <c r="AH7" s="57"/>
      <c r="AI7" s="57"/>
      <c r="AJ7" s="57"/>
    </row>
    <row r="8" spans="1:36" x14ac:dyDescent="0.2">
      <c r="A8" s="59" t="s">
        <v>90</v>
      </c>
      <c r="B8" s="60" t="s">
        <v>286</v>
      </c>
      <c r="C8" s="79">
        <v>16585.060000000001</v>
      </c>
      <c r="D8" s="80"/>
      <c r="E8" s="79">
        <v>21680.55</v>
      </c>
      <c r="F8" s="80"/>
      <c r="G8" s="79">
        <v>20597.13</v>
      </c>
      <c r="H8" s="79"/>
      <c r="I8" s="79">
        <v>25800</v>
      </c>
      <c r="J8" s="79"/>
      <c r="K8" s="79">
        <v>25800</v>
      </c>
      <c r="L8" s="79"/>
      <c r="M8" s="79">
        <v>24320.42</v>
      </c>
      <c r="N8" s="79"/>
      <c r="O8" s="79">
        <f>PRODUCT(M8,0/12)</f>
        <v>0</v>
      </c>
      <c r="P8" s="79"/>
      <c r="Q8" s="79">
        <f t="shared" si="0"/>
        <v>24320.42</v>
      </c>
      <c r="R8" s="79"/>
      <c r="S8" s="79">
        <v>30000</v>
      </c>
      <c r="T8" s="79"/>
      <c r="U8" s="79">
        <v>29000</v>
      </c>
      <c r="V8" s="79"/>
      <c r="W8" s="79">
        <v>30000</v>
      </c>
      <c r="X8" s="79"/>
      <c r="Y8" s="79">
        <f t="shared" si="1"/>
        <v>4200</v>
      </c>
      <c r="Z8" s="62"/>
      <c r="AA8" s="63">
        <f t="shared" si="3"/>
        <v>0.16279069767441862</v>
      </c>
      <c r="AB8" s="62"/>
      <c r="AC8" s="79">
        <f t="shared" si="2"/>
        <v>5679.5800000000017</v>
      </c>
      <c r="AD8" s="62"/>
      <c r="AE8" s="63">
        <f t="shared" si="4"/>
        <v>0.23353132881751226</v>
      </c>
      <c r="AF8" s="57"/>
      <c r="AG8" s="57"/>
      <c r="AH8" s="57"/>
      <c r="AI8" s="57"/>
      <c r="AJ8" s="57"/>
    </row>
    <row r="9" spans="1:36" x14ac:dyDescent="0.2">
      <c r="A9" s="55" t="s">
        <v>91</v>
      </c>
      <c r="B9" s="56" t="s">
        <v>221</v>
      </c>
      <c r="C9" s="77">
        <v>43017.81</v>
      </c>
      <c r="E9" s="77">
        <v>57057.07</v>
      </c>
      <c r="G9" s="77">
        <v>78654.64</v>
      </c>
      <c r="I9" s="77">
        <v>65500</v>
      </c>
      <c r="K9" s="77">
        <v>65500</v>
      </c>
      <c r="M9" s="77">
        <v>55349</v>
      </c>
      <c r="O9" s="77">
        <f>PRODUCT(M9,0/12)</f>
        <v>0</v>
      </c>
      <c r="Q9" s="77">
        <f t="shared" si="0"/>
        <v>55349</v>
      </c>
      <c r="S9" s="77">
        <v>72500</v>
      </c>
      <c r="U9" s="77">
        <v>66000</v>
      </c>
      <c r="W9" s="77">
        <v>72500</v>
      </c>
      <c r="Y9" s="77">
        <f t="shared" si="1"/>
        <v>7000</v>
      </c>
      <c r="Z9" s="57"/>
      <c r="AA9" s="58">
        <f t="shared" si="3"/>
        <v>0.10687022900763359</v>
      </c>
      <c r="AB9" s="57"/>
      <c r="AC9" s="77">
        <f t="shared" si="2"/>
        <v>17151</v>
      </c>
      <c r="AD9" s="57"/>
      <c r="AE9" s="58">
        <f t="shared" si="4"/>
        <v>0.30987009702072305</v>
      </c>
      <c r="AF9" s="57"/>
      <c r="AG9" s="57"/>
      <c r="AH9" s="57"/>
      <c r="AI9" s="57"/>
      <c r="AJ9" s="57"/>
    </row>
    <row r="10" spans="1:36" x14ac:dyDescent="0.2">
      <c r="A10" s="59" t="s">
        <v>92</v>
      </c>
      <c r="B10" s="60" t="s">
        <v>400</v>
      </c>
      <c r="C10" s="79">
        <v>10374.02</v>
      </c>
      <c r="D10" s="80"/>
      <c r="E10" s="79">
        <v>13251.39</v>
      </c>
      <c r="F10" s="80"/>
      <c r="G10" s="79">
        <v>14087.43</v>
      </c>
      <c r="H10" s="79"/>
      <c r="I10" s="79">
        <v>8000</v>
      </c>
      <c r="J10" s="79"/>
      <c r="K10" s="79">
        <v>8000</v>
      </c>
      <c r="L10" s="79"/>
      <c r="M10" s="79">
        <v>2868.16</v>
      </c>
      <c r="N10" s="79"/>
      <c r="O10" s="79">
        <v>0</v>
      </c>
      <c r="P10" s="79"/>
      <c r="Q10" s="79">
        <f t="shared" si="0"/>
        <v>2868.16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-8000</v>
      </c>
      <c r="Z10" s="62"/>
      <c r="AA10" s="63" t="str">
        <f t="shared" si="3"/>
        <v>N/A</v>
      </c>
      <c r="AB10" s="62"/>
      <c r="AC10" s="79">
        <f t="shared" si="2"/>
        <v>-2868.16</v>
      </c>
      <c r="AD10" s="62"/>
      <c r="AE10" s="63" t="str">
        <f t="shared" si="4"/>
        <v>N/A</v>
      </c>
      <c r="AF10" s="57"/>
      <c r="AG10" s="57"/>
      <c r="AH10" s="57"/>
      <c r="AI10" s="57"/>
      <c r="AJ10" s="57"/>
    </row>
    <row r="11" spans="1:36" x14ac:dyDescent="0.2">
      <c r="A11" s="55" t="s">
        <v>93</v>
      </c>
      <c r="B11" s="56" t="s">
        <v>401</v>
      </c>
      <c r="C11" s="77">
        <v>7750.48</v>
      </c>
      <c r="E11" s="77">
        <v>7691</v>
      </c>
      <c r="G11" s="77">
        <v>8437.6</v>
      </c>
      <c r="I11" s="77">
        <v>6000</v>
      </c>
      <c r="K11" s="77">
        <v>6000</v>
      </c>
      <c r="M11" s="77">
        <v>1336.58</v>
      </c>
      <c r="O11" s="77">
        <v>0</v>
      </c>
      <c r="Q11" s="77">
        <f t="shared" si="0"/>
        <v>1336.58</v>
      </c>
      <c r="S11" s="77">
        <v>0</v>
      </c>
      <c r="U11" s="77">
        <v>0</v>
      </c>
      <c r="W11" s="77">
        <v>0</v>
      </c>
      <c r="Y11" s="77">
        <f t="shared" si="1"/>
        <v>-6000</v>
      </c>
      <c r="Z11" s="57"/>
      <c r="AA11" s="58" t="str">
        <f t="shared" si="3"/>
        <v>N/A</v>
      </c>
      <c r="AB11" s="57"/>
      <c r="AC11" s="77">
        <f t="shared" si="2"/>
        <v>-1336.58</v>
      </c>
      <c r="AD11" s="57"/>
      <c r="AE11" s="58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A12" s="59" t="s">
        <v>94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21300</v>
      </c>
      <c r="J12" s="79"/>
      <c r="K12" s="79">
        <v>21300</v>
      </c>
      <c r="L12" s="79"/>
      <c r="M12" s="79">
        <v>21757.35</v>
      </c>
      <c r="N12" s="79"/>
      <c r="O12" s="79">
        <f>PRODUCT(M12,0/9)</f>
        <v>0</v>
      </c>
      <c r="P12" s="79"/>
      <c r="Q12" s="79">
        <f t="shared" si="0"/>
        <v>21757.35</v>
      </c>
      <c r="R12" s="79"/>
      <c r="S12" s="79">
        <v>35000</v>
      </c>
      <c r="T12" s="79"/>
      <c r="U12" s="79">
        <v>30000</v>
      </c>
      <c r="V12" s="79"/>
      <c r="W12" s="79">
        <v>35000</v>
      </c>
      <c r="X12" s="79"/>
      <c r="Y12" s="79">
        <f t="shared" si="1"/>
        <v>13700</v>
      </c>
      <c r="Z12" s="62"/>
      <c r="AA12" s="63">
        <f t="shared" si="3"/>
        <v>0.64319248826291076</v>
      </c>
      <c r="AB12" s="62"/>
      <c r="AC12" s="79">
        <f t="shared" si="2"/>
        <v>13242.650000000001</v>
      </c>
      <c r="AD12" s="62"/>
      <c r="AE12" s="63">
        <f t="shared" si="4"/>
        <v>0.60865178893569305</v>
      </c>
      <c r="AF12" s="57"/>
      <c r="AG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303882.3</v>
      </c>
      <c r="E13" s="81">
        <f>SUM(E6:E12)</f>
        <v>380407.85000000003</v>
      </c>
      <c r="G13" s="81">
        <f>SUM(G6:G12)</f>
        <v>402305.88</v>
      </c>
      <c r="I13" s="81">
        <f>SUM(I6:I12)</f>
        <v>463250</v>
      </c>
      <c r="K13" s="81">
        <f>SUM(K6:K12)</f>
        <v>443250</v>
      </c>
      <c r="M13" s="81">
        <f>SUM(M6:M12)</f>
        <v>435153.43999999994</v>
      </c>
      <c r="O13" s="81">
        <f>SUM(O6:O12)</f>
        <v>0</v>
      </c>
      <c r="Q13" s="81">
        <f>SUM(Q6:Q12)</f>
        <v>435153.43999999994</v>
      </c>
      <c r="S13" s="81">
        <f>SUM(S6:S12)</f>
        <v>517500</v>
      </c>
      <c r="U13" s="81">
        <f>SUM(U6:U12)</f>
        <v>505000</v>
      </c>
      <c r="W13" s="81">
        <f>SUM(W6:W12)</f>
        <v>517500</v>
      </c>
      <c r="Y13" s="81">
        <f>SUM(Y6:Y12)</f>
        <v>54250</v>
      </c>
      <c r="Z13" s="57"/>
      <c r="AA13" s="65">
        <f t="shared" si="3"/>
        <v>0.11710739341608203</v>
      </c>
      <c r="AB13" s="57"/>
      <c r="AC13" s="81">
        <f>SUM(AC6:AC12)</f>
        <v>82346.559999999998</v>
      </c>
      <c r="AD13" s="57"/>
      <c r="AE13" s="65">
        <f t="shared" si="4"/>
        <v>0.18923568661206036</v>
      </c>
      <c r="AF13" s="57"/>
      <c r="AG13" s="57"/>
      <c r="AH13" s="57"/>
      <c r="AI13" s="57"/>
      <c r="AJ13" s="57"/>
    </row>
    <row r="14" spans="1:36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A16" s="59" t="s">
        <v>95</v>
      </c>
      <c r="B16" s="60" t="s">
        <v>222</v>
      </c>
      <c r="C16" s="79">
        <v>321865.09999999998</v>
      </c>
      <c r="D16" s="80"/>
      <c r="E16" s="79">
        <v>303733.88</v>
      </c>
      <c r="F16" s="80"/>
      <c r="G16" s="79">
        <v>364741.36</v>
      </c>
      <c r="H16" s="79"/>
      <c r="I16" s="79">
        <v>525000</v>
      </c>
      <c r="J16" s="79"/>
      <c r="K16" s="79">
        <v>525000</v>
      </c>
      <c r="L16" s="79"/>
      <c r="M16" s="79">
        <v>564288.28</v>
      </c>
      <c r="N16" s="79"/>
      <c r="O16" s="79">
        <f t="shared" ref="O16:O22" si="5">PRODUCT(M16,0/12)</f>
        <v>0</v>
      </c>
      <c r="P16" s="79"/>
      <c r="Q16" s="79">
        <f t="shared" ref="Q16:Q22" si="6">SUM(M16,O16)</f>
        <v>564288.28</v>
      </c>
      <c r="R16" s="79"/>
      <c r="S16" s="79">
        <v>550000</v>
      </c>
      <c r="T16" s="79"/>
      <c r="U16" s="79">
        <v>650000</v>
      </c>
      <c r="V16" s="79"/>
      <c r="W16" s="79">
        <v>650000</v>
      </c>
      <c r="X16" s="79"/>
      <c r="Y16" s="79">
        <f t="shared" ref="Y16:Y22" si="7">SUM(W16,-I16)</f>
        <v>125000</v>
      </c>
      <c r="Z16" s="62"/>
      <c r="AA16" s="63">
        <f t="shared" ref="AA16:AA23" si="8">IF(W16=0,"N/A",PRODUCT(Y16,1/I16))</f>
        <v>0.23809523809523808</v>
      </c>
      <c r="AB16" s="62"/>
      <c r="AC16" s="79">
        <f t="shared" ref="AC16:AC22" si="9">SUM(W16,-Q16)</f>
        <v>85711.719999999972</v>
      </c>
      <c r="AD16" s="62"/>
      <c r="AE16" s="63">
        <f t="shared" ref="AE16:AE23" si="10">IF(W16=0,"N/A",PRODUCT(AC16,1/Q16))</f>
        <v>0.1518934967070377</v>
      </c>
      <c r="AF16" s="57"/>
      <c r="AG16" s="57" t="s">
        <v>1016</v>
      </c>
      <c r="AH16" s="57"/>
      <c r="AI16" s="57"/>
      <c r="AJ16" s="57"/>
    </row>
    <row r="17" spans="1:36" x14ac:dyDescent="0.2">
      <c r="A17" s="55" t="s">
        <v>96</v>
      </c>
      <c r="B17" s="56" t="s">
        <v>578</v>
      </c>
      <c r="C17" s="77">
        <v>135677.21</v>
      </c>
      <c r="E17" s="77">
        <v>76682.13</v>
      </c>
      <c r="G17" s="77">
        <v>171554.23</v>
      </c>
      <c r="I17" s="77">
        <v>176000</v>
      </c>
      <c r="K17" s="77">
        <v>176000</v>
      </c>
      <c r="M17" s="77">
        <v>129803.2</v>
      </c>
      <c r="O17" s="77">
        <f t="shared" si="5"/>
        <v>0</v>
      </c>
      <c r="Q17" s="77">
        <f t="shared" si="6"/>
        <v>129803.2</v>
      </c>
      <c r="S17" s="77">
        <v>150000</v>
      </c>
      <c r="U17" s="77">
        <v>180000</v>
      </c>
      <c r="W17" s="77">
        <v>180000</v>
      </c>
      <c r="Y17" s="77">
        <f t="shared" si="7"/>
        <v>4000</v>
      </c>
      <c r="Z17" s="57"/>
      <c r="AA17" s="58">
        <f t="shared" si="8"/>
        <v>2.2727272727272724E-2</v>
      </c>
      <c r="AB17" s="57"/>
      <c r="AC17" s="77">
        <f t="shared" si="9"/>
        <v>50196.800000000003</v>
      </c>
      <c r="AD17" s="57"/>
      <c r="AE17" s="58">
        <f t="shared" si="10"/>
        <v>0.38671465726576854</v>
      </c>
      <c r="AF17" s="57"/>
      <c r="AG17" s="57" t="s">
        <v>1032</v>
      </c>
      <c r="AH17" s="57"/>
      <c r="AI17" s="57"/>
      <c r="AJ17" s="57"/>
    </row>
    <row r="18" spans="1:36" x14ac:dyDescent="0.2">
      <c r="A18" s="59" t="s">
        <v>97</v>
      </c>
      <c r="B18" s="60" t="s">
        <v>223</v>
      </c>
      <c r="C18" s="79">
        <v>0</v>
      </c>
      <c r="D18" s="80"/>
      <c r="E18" s="79">
        <v>1983.75</v>
      </c>
      <c r="F18" s="80"/>
      <c r="G18" s="79">
        <v>56914.55</v>
      </c>
      <c r="H18" s="79"/>
      <c r="I18" s="79">
        <v>5500</v>
      </c>
      <c r="J18" s="79"/>
      <c r="K18" s="79">
        <v>5500</v>
      </c>
      <c r="L18" s="79"/>
      <c r="M18" s="79">
        <v>1327</v>
      </c>
      <c r="N18" s="79"/>
      <c r="O18" s="79">
        <f t="shared" si="5"/>
        <v>0</v>
      </c>
      <c r="P18" s="79"/>
      <c r="Q18" s="79">
        <f t="shared" si="6"/>
        <v>1327</v>
      </c>
      <c r="R18" s="79"/>
      <c r="S18" s="79">
        <v>10000</v>
      </c>
      <c r="T18" s="79"/>
      <c r="U18" s="79">
        <v>8000</v>
      </c>
      <c r="V18" s="79"/>
      <c r="W18" s="79">
        <v>5500</v>
      </c>
      <c r="X18" s="79"/>
      <c r="Y18" s="79">
        <f t="shared" si="7"/>
        <v>0</v>
      </c>
      <c r="Z18" s="62"/>
      <c r="AA18" s="63">
        <f t="shared" si="8"/>
        <v>0</v>
      </c>
      <c r="AB18" s="62"/>
      <c r="AC18" s="79">
        <f t="shared" si="9"/>
        <v>4173</v>
      </c>
      <c r="AD18" s="62"/>
      <c r="AE18" s="63">
        <f t="shared" si="10"/>
        <v>3.1446872645064055</v>
      </c>
      <c r="AF18" s="57"/>
      <c r="AG18" s="57"/>
      <c r="AH18" s="57"/>
      <c r="AI18" s="57"/>
      <c r="AJ18" s="57"/>
    </row>
    <row r="19" spans="1:36" x14ac:dyDescent="0.2">
      <c r="A19" s="55" t="s">
        <v>98</v>
      </c>
      <c r="B19" s="56" t="s">
        <v>579</v>
      </c>
      <c r="C19" s="77">
        <v>13550.62</v>
      </c>
      <c r="E19" s="77">
        <v>20886.61</v>
      </c>
      <c r="G19" s="77">
        <v>61206.47</v>
      </c>
      <c r="I19" s="77">
        <v>55000</v>
      </c>
      <c r="K19" s="77">
        <v>55000</v>
      </c>
      <c r="M19" s="77">
        <v>52620.63</v>
      </c>
      <c r="O19" s="77">
        <f t="shared" si="5"/>
        <v>0</v>
      </c>
      <c r="Q19" s="77">
        <f t="shared" si="6"/>
        <v>52620.63</v>
      </c>
      <c r="S19" s="77">
        <v>45000</v>
      </c>
      <c r="U19" s="77">
        <v>55000</v>
      </c>
      <c r="W19" s="77">
        <v>55000</v>
      </c>
      <c r="Y19" s="77">
        <f t="shared" si="7"/>
        <v>0</v>
      </c>
      <c r="Z19" s="57"/>
      <c r="AA19" s="58">
        <f t="shared" si="8"/>
        <v>0</v>
      </c>
      <c r="AB19" s="57"/>
      <c r="AC19" s="77">
        <f t="shared" si="9"/>
        <v>2379.3700000000026</v>
      </c>
      <c r="AD19" s="57"/>
      <c r="AE19" s="58">
        <f t="shared" si="10"/>
        <v>4.5217436583332479E-2</v>
      </c>
      <c r="AF19" s="57"/>
      <c r="AG19" s="57"/>
      <c r="AH19" s="57"/>
      <c r="AI19" s="57"/>
      <c r="AJ19" s="57"/>
    </row>
    <row r="20" spans="1:36" x14ac:dyDescent="0.2">
      <c r="A20" s="59" t="s">
        <v>99</v>
      </c>
      <c r="B20" s="60" t="s">
        <v>514</v>
      </c>
      <c r="C20" s="79">
        <v>0</v>
      </c>
      <c r="D20" s="80"/>
      <c r="E20" s="79">
        <v>0</v>
      </c>
      <c r="F20" s="80"/>
      <c r="G20" s="79">
        <v>0</v>
      </c>
      <c r="H20" s="79"/>
      <c r="I20" s="79">
        <v>8000</v>
      </c>
      <c r="J20" s="79"/>
      <c r="K20" s="79">
        <v>8000</v>
      </c>
      <c r="L20" s="79"/>
      <c r="M20" s="79">
        <v>1084.27</v>
      </c>
      <c r="N20" s="79"/>
      <c r="O20" s="79">
        <f t="shared" si="5"/>
        <v>0</v>
      </c>
      <c r="P20" s="79"/>
      <c r="Q20" s="79">
        <f t="shared" si="6"/>
        <v>1084.27</v>
      </c>
      <c r="R20" s="79"/>
      <c r="S20" s="79">
        <v>0</v>
      </c>
      <c r="T20" s="79"/>
      <c r="U20" s="79">
        <v>8000</v>
      </c>
      <c r="V20" s="79"/>
      <c r="W20" s="79">
        <v>8000</v>
      </c>
      <c r="X20" s="79"/>
      <c r="Y20" s="79">
        <f t="shared" si="7"/>
        <v>0</v>
      </c>
      <c r="Z20" s="62"/>
      <c r="AA20" s="63">
        <f t="shared" si="8"/>
        <v>0</v>
      </c>
      <c r="AB20" s="62"/>
      <c r="AC20" s="79">
        <f t="shared" si="9"/>
        <v>6915.73</v>
      </c>
      <c r="AD20" s="62"/>
      <c r="AE20" s="63">
        <f t="shared" si="10"/>
        <v>6.3782360482167721</v>
      </c>
      <c r="AF20" s="57"/>
      <c r="AG20" s="57" t="s">
        <v>1010</v>
      </c>
      <c r="AH20" s="57"/>
      <c r="AI20" s="57"/>
      <c r="AJ20" s="57"/>
    </row>
    <row r="21" spans="1:36" x14ac:dyDescent="0.2">
      <c r="A21" s="55" t="s">
        <v>100</v>
      </c>
      <c r="B21" s="56" t="s">
        <v>325</v>
      </c>
      <c r="C21" s="77">
        <v>2879.91</v>
      </c>
      <c r="E21" s="77">
        <v>2778.74</v>
      </c>
      <c r="G21" s="77">
        <v>11841.18</v>
      </c>
      <c r="I21" s="77">
        <v>9500</v>
      </c>
      <c r="K21" s="77">
        <v>9500</v>
      </c>
      <c r="M21" s="77">
        <v>5460.18</v>
      </c>
      <c r="O21" s="77">
        <f t="shared" si="5"/>
        <v>0</v>
      </c>
      <c r="Q21" s="77">
        <f t="shared" si="6"/>
        <v>5460.18</v>
      </c>
      <c r="S21" s="77">
        <v>8000</v>
      </c>
      <c r="U21" s="77">
        <v>9500</v>
      </c>
      <c r="W21" s="77">
        <v>9500</v>
      </c>
      <c r="Y21" s="77">
        <f t="shared" si="7"/>
        <v>0</v>
      </c>
      <c r="Z21" s="57"/>
      <c r="AA21" s="58">
        <f t="shared" si="8"/>
        <v>0</v>
      </c>
      <c r="AB21" s="57"/>
      <c r="AC21" s="77">
        <f t="shared" si="9"/>
        <v>4039.8199999999997</v>
      </c>
      <c r="AD21" s="57"/>
      <c r="AE21" s="58">
        <f t="shared" si="10"/>
        <v>0.73986938159547844</v>
      </c>
      <c r="AF21" s="57"/>
      <c r="AG21" s="57"/>
      <c r="AH21" s="57"/>
      <c r="AI21" s="57"/>
      <c r="AJ21" s="57"/>
    </row>
    <row r="22" spans="1:36" x14ac:dyDescent="0.2">
      <c r="A22" s="59" t="s">
        <v>101</v>
      </c>
      <c r="B22" s="60" t="s">
        <v>328</v>
      </c>
      <c r="C22" s="79">
        <v>4361.72</v>
      </c>
      <c r="D22" s="80"/>
      <c r="E22" s="79">
        <v>7437.3</v>
      </c>
      <c r="F22" s="80"/>
      <c r="G22" s="79">
        <v>9711.75</v>
      </c>
      <c r="H22" s="79"/>
      <c r="I22" s="79">
        <v>7500</v>
      </c>
      <c r="J22" s="79"/>
      <c r="K22" s="79">
        <v>7500</v>
      </c>
      <c r="L22" s="79"/>
      <c r="M22" s="79">
        <v>9778.7900000000009</v>
      </c>
      <c r="N22" s="79"/>
      <c r="O22" s="79">
        <f t="shared" si="5"/>
        <v>0</v>
      </c>
      <c r="P22" s="79"/>
      <c r="Q22" s="79">
        <f t="shared" si="6"/>
        <v>9778.7900000000009</v>
      </c>
      <c r="R22" s="79"/>
      <c r="S22" s="79">
        <v>8000</v>
      </c>
      <c r="T22" s="79"/>
      <c r="U22" s="79">
        <v>9500</v>
      </c>
      <c r="V22" s="79"/>
      <c r="W22" s="79">
        <v>9500</v>
      </c>
      <c r="X22" s="79"/>
      <c r="Y22" s="79">
        <f t="shared" si="7"/>
        <v>2000</v>
      </c>
      <c r="Z22" s="62"/>
      <c r="AA22" s="63">
        <f t="shared" si="8"/>
        <v>0.26666666666666666</v>
      </c>
      <c r="AB22" s="62"/>
      <c r="AC22" s="79">
        <f t="shared" si="9"/>
        <v>-278.79000000000087</v>
      </c>
      <c r="AD22" s="62"/>
      <c r="AE22" s="63">
        <f t="shared" si="10"/>
        <v>-2.8509662238375182E-2</v>
      </c>
      <c r="AF22" s="57"/>
      <c r="AG22" s="57" t="s">
        <v>1017</v>
      </c>
      <c r="AH22" s="57"/>
      <c r="AI22" s="57"/>
      <c r="AJ22" s="57"/>
    </row>
    <row r="23" spans="1:36" x14ac:dyDescent="0.2">
      <c r="A23" s="64" t="s">
        <v>49</v>
      </c>
      <c r="C23" s="81">
        <f>SUM(C16:C22)</f>
        <v>478334.55999999988</v>
      </c>
      <c r="E23" s="81">
        <f>SUM(E16:E22)</f>
        <v>413502.41</v>
      </c>
      <c r="G23" s="81">
        <f>SUM(G16:G22)</f>
        <v>675969.54</v>
      </c>
      <c r="I23" s="81">
        <f>SUM(I16:I22)</f>
        <v>786500</v>
      </c>
      <c r="K23" s="81">
        <f>SUM(K16:K22)</f>
        <v>786500</v>
      </c>
      <c r="M23" s="81">
        <f>SUM(M16:M22)</f>
        <v>764362.35000000009</v>
      </c>
      <c r="O23" s="81">
        <f>SUM(O16:O22)</f>
        <v>0</v>
      </c>
      <c r="Q23" s="81">
        <f>SUM(Q16:Q22)</f>
        <v>764362.35000000009</v>
      </c>
      <c r="S23" s="81">
        <f>SUM(S16:S22)</f>
        <v>771000</v>
      </c>
      <c r="U23" s="81">
        <f>SUM(U16:U22)</f>
        <v>920000</v>
      </c>
      <c r="W23" s="81">
        <f>SUM(W16:W22)</f>
        <v>917500</v>
      </c>
      <c r="Y23" s="81">
        <f>SUM(Y16:Y22)</f>
        <v>131000</v>
      </c>
      <c r="Z23" s="57"/>
      <c r="AA23" s="65">
        <f t="shared" si="8"/>
        <v>0.16656071201525746</v>
      </c>
      <c r="AB23" s="57"/>
      <c r="AC23" s="81">
        <f>SUM(AC16:AC22)</f>
        <v>153137.64999999997</v>
      </c>
      <c r="AD23" s="57"/>
      <c r="AE23" s="65">
        <f t="shared" si="10"/>
        <v>0.20034692969898366</v>
      </c>
      <c r="AF23" s="57"/>
      <c r="AG23" s="57"/>
      <c r="AH23" s="57"/>
      <c r="AI23" s="57"/>
      <c r="AJ23" s="57"/>
    </row>
    <row r="24" spans="1:36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x14ac:dyDescent="0.2">
      <c r="A25" s="54" t="s">
        <v>65</v>
      </c>
      <c r="Z25" s="57"/>
      <c r="AB25" s="57"/>
      <c r="AD25" s="57"/>
      <c r="AF25" s="57"/>
      <c r="AG25" s="57"/>
      <c r="AH25" s="57"/>
      <c r="AI25" s="57"/>
      <c r="AJ25" s="57"/>
    </row>
    <row r="26" spans="1:36" x14ac:dyDescent="0.2">
      <c r="A26" s="55" t="s">
        <v>1018</v>
      </c>
      <c r="B26" s="56" t="s">
        <v>342</v>
      </c>
      <c r="C26" s="77">
        <v>0</v>
      </c>
      <c r="E26" s="77">
        <v>0</v>
      </c>
      <c r="G26" s="77">
        <v>0</v>
      </c>
      <c r="I26" s="77">
        <v>0</v>
      </c>
      <c r="K26" s="77">
        <v>0</v>
      </c>
      <c r="M26" s="77">
        <v>0</v>
      </c>
      <c r="O26" s="77">
        <f t="shared" ref="O26:O31" si="11">PRODUCT(M26,0/12)</f>
        <v>0</v>
      </c>
      <c r="Q26" s="77">
        <f t="shared" ref="Q26:Q31" si="12">SUM(M26,O26)</f>
        <v>0</v>
      </c>
      <c r="S26" s="77">
        <v>0</v>
      </c>
      <c r="U26" s="77">
        <v>15000</v>
      </c>
      <c r="W26" s="77">
        <v>12500</v>
      </c>
      <c r="Y26" s="77">
        <f t="shared" ref="Y26:Y31" si="13">SUM(W26,-I26)</f>
        <v>12500</v>
      </c>
      <c r="Z26" s="57"/>
      <c r="AA26" s="58" t="e">
        <f t="shared" ref="AA26:AA32" si="14">IF(W26=0,"N/A",PRODUCT(Y26,1/I26))</f>
        <v>#DIV/0!</v>
      </c>
      <c r="AB26" s="57"/>
      <c r="AC26" s="77">
        <f t="shared" ref="AC26:AC31" si="15">SUM(W26,-Q26)</f>
        <v>12500</v>
      </c>
      <c r="AD26" s="57"/>
      <c r="AE26" s="58" t="e">
        <f t="shared" ref="AE26:AE32" si="16">IF(W26=0,"N/A",PRODUCT(AC26,1/Q26))</f>
        <v>#DIV/0!</v>
      </c>
      <c r="AF26" s="57"/>
      <c r="AG26" s="57"/>
      <c r="AH26" s="57"/>
      <c r="AI26" s="57"/>
      <c r="AJ26" s="57"/>
    </row>
    <row r="27" spans="1:36" x14ac:dyDescent="0.2">
      <c r="A27" s="59" t="s">
        <v>102</v>
      </c>
      <c r="B27" s="60" t="s">
        <v>443</v>
      </c>
      <c r="C27" s="79">
        <v>7512.61</v>
      </c>
      <c r="D27" s="80"/>
      <c r="E27" s="79">
        <v>1886.5</v>
      </c>
      <c r="F27" s="80"/>
      <c r="G27" s="79">
        <v>5507.58</v>
      </c>
      <c r="H27" s="79"/>
      <c r="I27" s="79">
        <v>7500</v>
      </c>
      <c r="J27" s="79"/>
      <c r="K27" s="79">
        <v>7500</v>
      </c>
      <c r="L27" s="79"/>
      <c r="M27" s="79">
        <v>3706.72</v>
      </c>
      <c r="N27" s="79"/>
      <c r="O27" s="79">
        <f t="shared" si="11"/>
        <v>0</v>
      </c>
      <c r="P27" s="79"/>
      <c r="Q27" s="79">
        <f t="shared" si="12"/>
        <v>3706.72</v>
      </c>
      <c r="R27" s="79"/>
      <c r="S27" s="79">
        <v>5000</v>
      </c>
      <c r="T27" s="79"/>
      <c r="U27" s="79">
        <v>33000</v>
      </c>
      <c r="V27" s="79"/>
      <c r="W27" s="79">
        <v>7500</v>
      </c>
      <c r="X27" s="79"/>
      <c r="Y27" s="79">
        <f t="shared" si="13"/>
        <v>0</v>
      </c>
      <c r="Z27" s="62"/>
      <c r="AA27" s="63">
        <f t="shared" si="14"/>
        <v>0</v>
      </c>
      <c r="AB27" s="62"/>
      <c r="AC27" s="79">
        <f t="shared" si="15"/>
        <v>3793.28</v>
      </c>
      <c r="AD27" s="62"/>
      <c r="AE27" s="63">
        <f t="shared" si="16"/>
        <v>1.0233521819829932</v>
      </c>
      <c r="AF27" s="57"/>
      <c r="AG27" s="57" t="s">
        <v>1021</v>
      </c>
      <c r="AH27" s="57"/>
      <c r="AI27" s="57"/>
      <c r="AJ27" s="57"/>
    </row>
    <row r="28" spans="1:36" x14ac:dyDescent="0.2">
      <c r="A28" s="55" t="s">
        <v>1023</v>
      </c>
      <c r="B28" s="56" t="s">
        <v>1022</v>
      </c>
      <c r="C28" s="77">
        <v>0</v>
      </c>
      <c r="E28" s="77">
        <v>0</v>
      </c>
      <c r="G28" s="77">
        <v>0</v>
      </c>
      <c r="I28" s="77">
        <v>0</v>
      </c>
      <c r="K28" s="77">
        <v>0</v>
      </c>
      <c r="M28" s="77">
        <v>0</v>
      </c>
      <c r="O28" s="77">
        <f t="shared" si="11"/>
        <v>0</v>
      </c>
      <c r="Q28" s="77">
        <f t="shared" si="12"/>
        <v>0</v>
      </c>
      <c r="S28" s="77">
        <v>0</v>
      </c>
      <c r="U28" s="77">
        <v>30000</v>
      </c>
      <c r="W28" s="77">
        <v>30000</v>
      </c>
      <c r="Y28" s="77">
        <f t="shared" si="13"/>
        <v>30000</v>
      </c>
      <c r="Z28" s="57"/>
      <c r="AA28" s="58" t="e">
        <f t="shared" si="14"/>
        <v>#DIV/0!</v>
      </c>
      <c r="AB28" s="57"/>
      <c r="AC28" s="77">
        <f t="shared" si="15"/>
        <v>30000</v>
      </c>
      <c r="AD28" s="57"/>
      <c r="AE28" s="58" t="e">
        <f t="shared" si="16"/>
        <v>#DIV/0!</v>
      </c>
      <c r="AF28" s="57"/>
      <c r="AG28" s="57" t="s">
        <v>1024</v>
      </c>
      <c r="AH28" s="57"/>
      <c r="AI28" s="57"/>
      <c r="AJ28" s="57"/>
    </row>
    <row r="29" spans="1:36" x14ac:dyDescent="0.2">
      <c r="A29" s="59" t="s">
        <v>1019</v>
      </c>
      <c r="B29" s="60" t="s">
        <v>343</v>
      </c>
      <c r="C29" s="79">
        <v>0</v>
      </c>
      <c r="D29" s="80"/>
      <c r="E29" s="79">
        <v>0</v>
      </c>
      <c r="F29" s="80"/>
      <c r="G29" s="79">
        <v>0</v>
      </c>
      <c r="H29" s="79"/>
      <c r="I29" s="79">
        <v>0</v>
      </c>
      <c r="J29" s="79"/>
      <c r="K29" s="79">
        <v>0</v>
      </c>
      <c r="L29" s="79"/>
      <c r="M29" s="79">
        <v>0</v>
      </c>
      <c r="N29" s="79"/>
      <c r="O29" s="79">
        <f t="shared" si="11"/>
        <v>0</v>
      </c>
      <c r="P29" s="79"/>
      <c r="Q29" s="79">
        <f t="shared" si="12"/>
        <v>0</v>
      </c>
      <c r="R29" s="79"/>
      <c r="S29" s="79">
        <v>0</v>
      </c>
      <c r="T29" s="79"/>
      <c r="U29" s="79">
        <v>35000</v>
      </c>
      <c r="V29" s="79"/>
      <c r="W29" s="79">
        <v>35000</v>
      </c>
      <c r="X29" s="79"/>
      <c r="Y29" s="79">
        <f t="shared" si="13"/>
        <v>35000</v>
      </c>
      <c r="Z29" s="62"/>
      <c r="AA29" s="63" t="e">
        <f t="shared" si="14"/>
        <v>#DIV/0!</v>
      </c>
      <c r="AB29" s="62"/>
      <c r="AC29" s="79">
        <f t="shared" si="15"/>
        <v>35000</v>
      </c>
      <c r="AD29" s="62"/>
      <c r="AE29" s="63" t="e">
        <f t="shared" si="16"/>
        <v>#DIV/0!</v>
      </c>
      <c r="AF29" s="57"/>
      <c r="AG29" s="57" t="s">
        <v>1020</v>
      </c>
      <c r="AH29" s="57"/>
      <c r="AI29" s="57"/>
      <c r="AJ29" s="57"/>
    </row>
    <row r="30" spans="1:36" x14ac:dyDescent="0.2">
      <c r="A30" s="55" t="s">
        <v>104</v>
      </c>
      <c r="B30" s="56" t="s">
        <v>580</v>
      </c>
      <c r="C30" s="77">
        <v>75474.539999999994</v>
      </c>
      <c r="E30" s="77">
        <v>123934.35</v>
      </c>
      <c r="G30" s="77">
        <v>281008.56</v>
      </c>
      <c r="I30" s="77">
        <v>215000</v>
      </c>
      <c r="K30" s="77">
        <v>235000</v>
      </c>
      <c r="M30" s="77">
        <v>426147.88</v>
      </c>
      <c r="O30" s="77">
        <f t="shared" si="11"/>
        <v>0</v>
      </c>
      <c r="Q30" s="77">
        <f t="shared" si="12"/>
        <v>426147.88</v>
      </c>
      <c r="S30" s="77">
        <v>265000</v>
      </c>
      <c r="U30" s="77">
        <v>285000</v>
      </c>
      <c r="W30" s="77">
        <v>255000</v>
      </c>
      <c r="Y30" s="77">
        <f t="shared" si="13"/>
        <v>40000</v>
      </c>
      <c r="Z30" s="57"/>
      <c r="AA30" s="58">
        <f t="shared" si="14"/>
        <v>0.18604651162790697</v>
      </c>
      <c r="AB30" s="57"/>
      <c r="AC30" s="77">
        <f t="shared" si="15"/>
        <v>-171147.88</v>
      </c>
      <c r="AD30" s="57"/>
      <c r="AE30" s="58">
        <f t="shared" si="16"/>
        <v>-0.40161617136286121</v>
      </c>
      <c r="AF30" s="57"/>
      <c r="AG30" s="57"/>
      <c r="AH30" s="57"/>
      <c r="AI30" s="57"/>
      <c r="AJ30" s="57"/>
    </row>
    <row r="31" spans="1:36" x14ac:dyDescent="0.2">
      <c r="A31" s="59" t="s">
        <v>103</v>
      </c>
      <c r="B31" s="60" t="s">
        <v>445</v>
      </c>
      <c r="C31" s="79">
        <v>8428.2999999999993</v>
      </c>
      <c r="D31" s="80"/>
      <c r="E31" s="79">
        <v>1934.47</v>
      </c>
      <c r="F31" s="80"/>
      <c r="G31" s="79">
        <v>4610.4399999999996</v>
      </c>
      <c r="H31" s="79"/>
      <c r="I31" s="79">
        <v>6500</v>
      </c>
      <c r="J31" s="79"/>
      <c r="K31" s="79">
        <v>6500</v>
      </c>
      <c r="L31" s="79"/>
      <c r="M31" s="79">
        <v>7631.59</v>
      </c>
      <c r="N31" s="79"/>
      <c r="O31" s="79">
        <f t="shared" si="11"/>
        <v>0</v>
      </c>
      <c r="P31" s="79"/>
      <c r="Q31" s="79">
        <f t="shared" si="12"/>
        <v>7631.59</v>
      </c>
      <c r="R31" s="79"/>
      <c r="S31" s="79">
        <v>7500</v>
      </c>
      <c r="T31" s="79"/>
      <c r="U31" s="79">
        <v>7500</v>
      </c>
      <c r="V31" s="79"/>
      <c r="W31" s="79">
        <v>7500</v>
      </c>
      <c r="X31" s="79"/>
      <c r="Y31" s="79">
        <f t="shared" si="13"/>
        <v>1000</v>
      </c>
      <c r="Z31" s="62"/>
      <c r="AA31" s="63">
        <f t="shared" si="14"/>
        <v>0.15384615384615385</v>
      </c>
      <c r="AB31" s="62"/>
      <c r="AC31" s="79">
        <f t="shared" si="15"/>
        <v>-131.59000000000015</v>
      </c>
      <c r="AD31" s="62"/>
      <c r="AE31" s="63">
        <f t="shared" si="16"/>
        <v>-1.7242802613872094E-2</v>
      </c>
      <c r="AF31" s="57"/>
      <c r="AG31" s="57"/>
      <c r="AH31" s="57"/>
      <c r="AI31" s="57"/>
      <c r="AJ31" s="57"/>
    </row>
    <row r="32" spans="1:36" x14ac:dyDescent="0.2">
      <c r="A32" s="64" t="s">
        <v>66</v>
      </c>
      <c r="C32" s="81">
        <f>SUM(C26:C31)</f>
        <v>91415.45</v>
      </c>
      <c r="E32" s="81">
        <f>SUM(E26:E31)</f>
        <v>127755.32</v>
      </c>
      <c r="G32" s="81">
        <f>SUM(G26:G31)</f>
        <v>291126.58</v>
      </c>
      <c r="I32" s="81">
        <f>SUM(I26:I31)</f>
        <v>229000</v>
      </c>
      <c r="K32" s="81">
        <f>SUM(K26:K31)</f>
        <v>249000</v>
      </c>
      <c r="M32" s="81">
        <f>SUM(M26:M31)</f>
        <v>437486.19</v>
      </c>
      <c r="O32" s="81">
        <f>SUM(O26:O31)</f>
        <v>0</v>
      </c>
      <c r="Q32" s="81">
        <f>SUM(Q26:Q31)</f>
        <v>437486.19</v>
      </c>
      <c r="S32" s="81">
        <f>SUM(S26:S31)</f>
        <v>277500</v>
      </c>
      <c r="U32" s="81">
        <f>SUM(U26:U31)</f>
        <v>405500</v>
      </c>
      <c r="W32" s="81">
        <f>SUM(W26:W31)</f>
        <v>347500</v>
      </c>
      <c r="Y32" s="81">
        <f>SUM(Y26:Y31)</f>
        <v>118500</v>
      </c>
      <c r="Z32" s="57"/>
      <c r="AA32" s="65">
        <f t="shared" si="14"/>
        <v>0.51746724890829687</v>
      </c>
      <c r="AB32" s="57"/>
      <c r="AC32" s="81">
        <f>SUM(AC26:AC31)</f>
        <v>-89986.19</v>
      </c>
      <c r="AD32" s="57"/>
      <c r="AE32" s="65">
        <f t="shared" si="16"/>
        <v>-0.20568921272692059</v>
      </c>
      <c r="AF32" s="57"/>
      <c r="AG32" s="57"/>
      <c r="AH32" s="57"/>
      <c r="AI32" s="57"/>
      <c r="AJ32" s="57"/>
    </row>
    <row r="33" spans="1:36" x14ac:dyDescent="0.2">
      <c r="Z33" s="57"/>
      <c r="AB33" s="57"/>
      <c r="AD33" s="57"/>
      <c r="AF33" s="57"/>
      <c r="AG33" s="57"/>
      <c r="AH33" s="57"/>
      <c r="AI33" s="57"/>
      <c r="AJ33" s="57"/>
    </row>
    <row r="34" spans="1:36" x14ac:dyDescent="0.2">
      <c r="A34" s="54" t="s">
        <v>69</v>
      </c>
      <c r="Z34" s="57"/>
      <c r="AB34" s="57"/>
      <c r="AD34" s="57"/>
      <c r="AF34" s="57"/>
      <c r="AG34" s="57"/>
      <c r="AH34" s="57"/>
      <c r="AI34" s="57"/>
      <c r="AJ34" s="57"/>
    </row>
    <row r="35" spans="1:36" x14ac:dyDescent="0.2">
      <c r="A35" s="55" t="s">
        <v>105</v>
      </c>
      <c r="B35" s="56" t="s">
        <v>347</v>
      </c>
      <c r="C35" s="77">
        <v>1766.69</v>
      </c>
      <c r="E35" s="77">
        <v>1223.5</v>
      </c>
      <c r="G35" s="77">
        <v>2073.0700000000002</v>
      </c>
      <c r="I35" s="77">
        <v>1500</v>
      </c>
      <c r="K35" s="77">
        <v>1500</v>
      </c>
      <c r="M35" s="77">
        <v>100.59</v>
      </c>
      <c r="O35" s="77">
        <f>PRODUCT(M35,0/12)</f>
        <v>0</v>
      </c>
      <c r="Q35" s="77">
        <f>SUM(M35,O35)</f>
        <v>100.59</v>
      </c>
      <c r="S35" s="77">
        <v>1500</v>
      </c>
      <c r="U35" s="77">
        <v>2000</v>
      </c>
      <c r="W35" s="77">
        <v>1500</v>
      </c>
      <c r="Y35" s="77">
        <f>SUM(W35,-I35)</f>
        <v>0</v>
      </c>
      <c r="Z35" s="57"/>
      <c r="AA35" s="58">
        <f>IF(W35=0,"N/A",PRODUCT(Y35,1/I35))</f>
        <v>0</v>
      </c>
      <c r="AB35" s="57"/>
      <c r="AC35" s="77">
        <f>SUM(W35,-Q35)</f>
        <v>1399.41</v>
      </c>
      <c r="AD35" s="57"/>
      <c r="AE35" s="58">
        <f>IF(W35=0,"N/A",PRODUCT(AC35,1/Q35))</f>
        <v>13.912019087384431</v>
      </c>
      <c r="AF35" s="57"/>
      <c r="AG35" s="57"/>
      <c r="AH35" s="57"/>
      <c r="AI35" s="57"/>
      <c r="AJ35" s="57"/>
    </row>
    <row r="36" spans="1:36" x14ac:dyDescent="0.2">
      <c r="A36" s="59" t="s">
        <v>106</v>
      </c>
      <c r="B36" s="60" t="s">
        <v>582</v>
      </c>
      <c r="C36" s="79">
        <v>0</v>
      </c>
      <c r="D36" s="80"/>
      <c r="E36" s="79">
        <v>168.63</v>
      </c>
      <c r="F36" s="80"/>
      <c r="G36" s="79">
        <v>245.85</v>
      </c>
      <c r="H36" s="79"/>
      <c r="I36" s="79">
        <v>2500</v>
      </c>
      <c r="J36" s="79"/>
      <c r="K36" s="79">
        <v>2500</v>
      </c>
      <c r="L36" s="79"/>
      <c r="M36" s="79">
        <v>1063.67</v>
      </c>
      <c r="N36" s="79"/>
      <c r="O36" s="79">
        <f>PRODUCT(M36,0/12)</f>
        <v>0</v>
      </c>
      <c r="P36" s="79"/>
      <c r="Q36" s="79">
        <f>SUM(M36,O36)</f>
        <v>1063.67</v>
      </c>
      <c r="R36" s="79"/>
      <c r="S36" s="79">
        <v>2000</v>
      </c>
      <c r="T36" s="79"/>
      <c r="U36" s="79">
        <v>2500</v>
      </c>
      <c r="V36" s="79"/>
      <c r="W36" s="79">
        <v>2000</v>
      </c>
      <c r="X36" s="79"/>
      <c r="Y36" s="79">
        <f>SUM(W36,-I36)</f>
        <v>-500</v>
      </c>
      <c r="Z36" s="62"/>
      <c r="AA36" s="63">
        <f>IF(W36=0,"N/A",PRODUCT(Y36,1/I36))</f>
        <v>-0.2</v>
      </c>
      <c r="AB36" s="62"/>
      <c r="AC36" s="79">
        <f>SUM(W36,-Q36)</f>
        <v>936.32999999999993</v>
      </c>
      <c r="AD36" s="62"/>
      <c r="AE36" s="63">
        <f>IF(W36=0,"N/A",PRODUCT(AC36,1/Q36))</f>
        <v>0.88028241841924637</v>
      </c>
      <c r="AF36" s="57"/>
      <c r="AG36" s="57"/>
      <c r="AH36" s="57"/>
      <c r="AI36" s="57"/>
      <c r="AJ36" s="57"/>
    </row>
    <row r="37" spans="1:36" x14ac:dyDescent="0.2">
      <c r="A37" s="55" t="s">
        <v>107</v>
      </c>
      <c r="B37" s="56" t="s">
        <v>450</v>
      </c>
      <c r="C37" s="77">
        <v>449.26</v>
      </c>
      <c r="E37" s="77">
        <v>130.31</v>
      </c>
      <c r="G37" s="77">
        <v>2938.83</v>
      </c>
      <c r="I37" s="77">
        <v>2500</v>
      </c>
      <c r="K37" s="77">
        <v>2500</v>
      </c>
      <c r="M37" s="77">
        <v>1779.07</v>
      </c>
      <c r="O37" s="77">
        <f>PRODUCT(M37,0/12)</f>
        <v>0</v>
      </c>
      <c r="Q37" s="77">
        <f>SUM(M37,O37)</f>
        <v>1779.07</v>
      </c>
      <c r="S37" s="77">
        <v>1500</v>
      </c>
      <c r="U37" s="77">
        <v>5000</v>
      </c>
      <c r="W37" s="77">
        <v>5000</v>
      </c>
      <c r="Y37" s="77">
        <f>SUM(W37,-I37)</f>
        <v>2500</v>
      </c>
      <c r="Z37" s="57"/>
      <c r="AA37" s="58">
        <f>IF(W37=0,"N/A",PRODUCT(Y37,1/I37))</f>
        <v>1</v>
      </c>
      <c r="AB37" s="57"/>
      <c r="AC37" s="77">
        <f>SUM(W37,-Q37)</f>
        <v>3220.9300000000003</v>
      </c>
      <c r="AD37" s="57"/>
      <c r="AE37" s="58">
        <f>IF(W37=0,"N/A",PRODUCT(AC37,1/Q37))</f>
        <v>1.81045714895985</v>
      </c>
      <c r="AF37" s="57"/>
      <c r="AG37" s="57" t="s">
        <v>1025</v>
      </c>
      <c r="AH37" s="57"/>
      <c r="AI37" s="57"/>
      <c r="AJ37" s="57"/>
    </row>
    <row r="38" spans="1:36" x14ac:dyDescent="0.2">
      <c r="A38" s="59" t="s">
        <v>108</v>
      </c>
      <c r="B38" s="60" t="s">
        <v>217</v>
      </c>
      <c r="C38" s="79">
        <v>101.19</v>
      </c>
      <c r="D38" s="80"/>
      <c r="E38" s="79">
        <v>2291.0100000000002</v>
      </c>
      <c r="F38" s="80"/>
      <c r="G38" s="79">
        <v>2608.77</v>
      </c>
      <c r="H38" s="79"/>
      <c r="I38" s="79">
        <v>4500</v>
      </c>
      <c r="J38" s="79"/>
      <c r="K38" s="79">
        <v>4500</v>
      </c>
      <c r="L38" s="79"/>
      <c r="M38" s="79">
        <v>4017.93</v>
      </c>
      <c r="N38" s="79"/>
      <c r="O38" s="79">
        <f>PRODUCT(M38,0/12)</f>
        <v>0</v>
      </c>
      <c r="P38" s="79"/>
      <c r="Q38" s="79">
        <f>SUM(M38,O38)</f>
        <v>4017.93</v>
      </c>
      <c r="R38" s="79"/>
      <c r="S38" s="79">
        <v>4000</v>
      </c>
      <c r="T38" s="79"/>
      <c r="U38" s="79">
        <v>5500</v>
      </c>
      <c r="V38" s="79"/>
      <c r="W38" s="79">
        <v>5500</v>
      </c>
      <c r="X38" s="79"/>
      <c r="Y38" s="79">
        <f>SUM(W38,-I38)</f>
        <v>1000</v>
      </c>
      <c r="Z38" s="62"/>
      <c r="AA38" s="63">
        <f>IF(W38=0,"N/A",PRODUCT(Y38,1/I38))</f>
        <v>0.22222222222222224</v>
      </c>
      <c r="AB38" s="62"/>
      <c r="AC38" s="79">
        <f>SUM(W38,-Q38)</f>
        <v>1482.0700000000002</v>
      </c>
      <c r="AD38" s="62"/>
      <c r="AE38" s="63">
        <f>IF(W38=0,"N/A",PRODUCT(AC38,1/Q38))</f>
        <v>0.36886406682047723</v>
      </c>
      <c r="AF38" s="57"/>
      <c r="AG38" s="57" t="s">
        <v>1026</v>
      </c>
      <c r="AH38" s="57"/>
      <c r="AI38" s="57"/>
      <c r="AJ38" s="57"/>
    </row>
    <row r="39" spans="1:36" x14ac:dyDescent="0.2">
      <c r="A39" s="64" t="s">
        <v>70</v>
      </c>
      <c r="C39" s="81">
        <f>SUM(C35:C38)</f>
        <v>2317.14</v>
      </c>
      <c r="E39" s="81">
        <f>SUM(E35:E38)</f>
        <v>3813.4500000000003</v>
      </c>
      <c r="F39" s="77"/>
      <c r="G39" s="81">
        <f>SUM(G35:G38)</f>
        <v>7866.52</v>
      </c>
      <c r="I39" s="81">
        <f>SUM(I35:I38)</f>
        <v>11000</v>
      </c>
      <c r="K39" s="81">
        <f>SUM(K35:K38)</f>
        <v>11000</v>
      </c>
      <c r="M39" s="81">
        <f>SUM(M35:M38)</f>
        <v>6961.26</v>
      </c>
      <c r="O39" s="81">
        <f>SUM(O35:O38)</f>
        <v>0</v>
      </c>
      <c r="Q39" s="81">
        <f>SUM(Q35:Q38)</f>
        <v>6961.26</v>
      </c>
      <c r="S39" s="81">
        <f>SUM(S35:S38)</f>
        <v>9000</v>
      </c>
      <c r="U39" s="81">
        <f>SUM(U35:U38)</f>
        <v>15000</v>
      </c>
      <c r="W39" s="81">
        <f>SUM(W35:W38)</f>
        <v>14000</v>
      </c>
      <c r="Y39" s="81">
        <f>SUM(Y35:Y38)</f>
        <v>3000</v>
      </c>
      <c r="Z39" s="57"/>
      <c r="AA39" s="65">
        <f>IF(W39=0,"N/A",PRODUCT(Y39,1/I39))</f>
        <v>0.27272727272727271</v>
      </c>
      <c r="AB39" s="57"/>
      <c r="AC39" s="81">
        <f>SUM(AC35:AC38)</f>
        <v>7038.74</v>
      </c>
      <c r="AD39" s="57"/>
      <c r="AE39" s="65">
        <f>IF(W39=0,"N/A",PRODUCT(AC39,1/Q39))</f>
        <v>1.0111301689636647</v>
      </c>
      <c r="AF39" s="57"/>
      <c r="AG39" s="57"/>
      <c r="AH39" s="57"/>
      <c r="AI39" s="57"/>
      <c r="AJ39" s="57"/>
    </row>
    <row r="40" spans="1:36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ht="13.5" thickBot="1" x14ac:dyDescent="0.25">
      <c r="A41" s="67" t="s">
        <v>109</v>
      </c>
      <c r="C41" s="83">
        <f>SUM(C13,C23,C32,C39)</f>
        <v>875949.44999999984</v>
      </c>
      <c r="E41" s="83">
        <f>SUM(E13,E23,E32,E39)</f>
        <v>925479.03</v>
      </c>
      <c r="G41" s="83">
        <f>SUM(G13,G23,G32,G39)</f>
        <v>1377268.52</v>
      </c>
      <c r="I41" s="83">
        <f>SUM(I13,I23,I32,I39)</f>
        <v>1489750</v>
      </c>
      <c r="K41" s="83">
        <f>SUM(K13,K23,K32,K39)</f>
        <v>1489750</v>
      </c>
      <c r="M41" s="82">
        <f>SUM(M13,M23,M32,M39)</f>
        <v>1643963.24</v>
      </c>
      <c r="O41" s="82">
        <f>SUM(O13,O23,O32,O39)</f>
        <v>0</v>
      </c>
      <c r="Q41" s="83">
        <f>SUM(Q13,Q23,Q32,Q39)</f>
        <v>1643963.24</v>
      </c>
      <c r="S41" s="82">
        <f>SUM(S13,S23,S32,S39)</f>
        <v>1575000</v>
      </c>
      <c r="U41" s="82">
        <f>SUM(U13,U23,U32,U39)</f>
        <v>1845500</v>
      </c>
      <c r="W41" s="83">
        <f>SUM(W13,W23,W32,W39)</f>
        <v>1796500</v>
      </c>
      <c r="Y41" s="82">
        <f>SUM(Y13,Y23,Y32,Y39)</f>
        <v>306750</v>
      </c>
      <c r="Z41" s="57"/>
      <c r="AA41" s="125">
        <f>IF(W41=0,"N/A",PRODUCT(Y41,1/I41))</f>
        <v>0.20590703138110422</v>
      </c>
      <c r="AB41" s="57"/>
      <c r="AC41" s="82">
        <f>SUM(AC13,AC23,AC32,AC39)</f>
        <v>152536.75999999995</v>
      </c>
      <c r="AD41" s="57"/>
      <c r="AE41" s="125">
        <f>IF(W41=0,"N/A",PRODUCT(AC41,1/Q41))</f>
        <v>9.2785991978750051E-2</v>
      </c>
      <c r="AF41" s="57"/>
      <c r="AG41" s="57"/>
      <c r="AH41" s="57"/>
      <c r="AI41" s="57"/>
      <c r="AJ41" s="57"/>
    </row>
    <row r="42" spans="1:36" ht="13.5" thickTop="1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G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G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G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G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G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G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G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G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G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G109" s="57"/>
      <c r="AH109" s="57"/>
      <c r="AI109" s="57"/>
      <c r="AJ109" s="57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D70E-CDF0-426A-9731-538759A9031C}">
  <sheetPr>
    <tabColor rgb="FF92D050"/>
  </sheetPr>
  <dimension ref="A1:AE85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16384" width="9.140625" style="56"/>
  </cols>
  <sheetData>
    <row r="1" spans="1:31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</row>
    <row r="2" spans="1:31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</row>
    <row r="3" spans="1:31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</row>
    <row r="4" spans="1:31" s="51" customFormat="1" ht="12.75" customHeight="1" x14ac:dyDescent="0.2">
      <c r="A4" s="50" t="s">
        <v>246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</row>
    <row r="5" spans="1:31" s="51" customFormat="1" ht="12.75" customHeight="1" x14ac:dyDescent="0.2">
      <c r="A5" s="55" t="s">
        <v>771</v>
      </c>
      <c r="C5" s="106">
        <f>'GF-R'!C25</f>
        <v>902426.04000000015</v>
      </c>
      <c r="D5" s="78"/>
      <c r="E5" s="106">
        <f>'GF-R'!E25</f>
        <v>867215.68000000017</v>
      </c>
      <c r="F5" s="78"/>
      <c r="G5" s="106">
        <f>'GF-R'!G25</f>
        <v>1284790.8999999999</v>
      </c>
      <c r="H5" s="106"/>
      <c r="I5" s="106">
        <f>'GF-R'!I25</f>
        <v>748600</v>
      </c>
      <c r="J5" s="106"/>
      <c r="K5" s="106">
        <f>'GF-R'!K25</f>
        <v>748600</v>
      </c>
      <c r="L5" s="106"/>
      <c r="M5" s="106">
        <f>'GF-R'!M25</f>
        <v>780434.16</v>
      </c>
      <c r="N5" s="106"/>
      <c r="O5" s="106">
        <f>'GF-R'!O25</f>
        <v>0</v>
      </c>
      <c r="P5" s="106"/>
      <c r="Q5" s="106">
        <f>'GF-R'!Q25</f>
        <v>780434.16</v>
      </c>
      <c r="R5" s="106"/>
      <c r="S5" s="106">
        <f>'GF-R'!S25</f>
        <v>145550</v>
      </c>
      <c r="T5" s="106"/>
      <c r="U5" s="106">
        <f>'GF-R'!U25</f>
        <v>145550</v>
      </c>
      <c r="V5" s="106"/>
      <c r="W5" s="106">
        <f>'GF-R'!W25</f>
        <v>163550</v>
      </c>
      <c r="X5" s="106"/>
      <c r="Y5" s="106">
        <f>'GF-R'!Y25</f>
        <v>-585050</v>
      </c>
      <c r="Z5" s="52"/>
      <c r="AA5" s="58">
        <f>'GF-R'!AA25</f>
        <v>-0.7815255142933476</v>
      </c>
      <c r="AB5" s="52"/>
      <c r="AC5" s="106">
        <f>'GF-R'!AC25</f>
        <v>-616884.16</v>
      </c>
      <c r="AD5" s="52"/>
      <c r="AE5" s="58">
        <f>'GF-R'!AE25</f>
        <v>-0.79043715872201181</v>
      </c>
    </row>
    <row r="6" spans="1:31" ht="12.75" customHeight="1" x14ac:dyDescent="0.2">
      <c r="A6" s="59" t="s">
        <v>922</v>
      </c>
      <c r="B6" s="60"/>
      <c r="C6" s="79">
        <f>'GF-R'!C33</f>
        <v>348529.39</v>
      </c>
      <c r="D6" s="80"/>
      <c r="E6" s="79">
        <f>'GF-R'!E33</f>
        <v>375513.85</v>
      </c>
      <c r="F6" s="80"/>
      <c r="G6" s="79">
        <f>'GF-R'!G33</f>
        <v>467855.30999999994</v>
      </c>
      <c r="H6" s="79"/>
      <c r="I6" s="79">
        <f>'GF-R'!I33</f>
        <v>390500</v>
      </c>
      <c r="J6" s="79"/>
      <c r="K6" s="79">
        <f>'GF-R'!K33</f>
        <v>390500</v>
      </c>
      <c r="L6" s="79"/>
      <c r="M6" s="79">
        <f>'GF-R'!M33</f>
        <v>386782.29</v>
      </c>
      <c r="N6" s="79"/>
      <c r="O6" s="79">
        <f>'GF-R'!O33</f>
        <v>0</v>
      </c>
      <c r="P6" s="79"/>
      <c r="Q6" s="79">
        <f>'GF-R'!Q33</f>
        <v>386782.29</v>
      </c>
      <c r="R6" s="79"/>
      <c r="S6" s="79">
        <f>'GF-R'!S33</f>
        <v>416000</v>
      </c>
      <c r="T6" s="79"/>
      <c r="U6" s="79">
        <f>'GF-R'!U33</f>
        <v>416000</v>
      </c>
      <c r="V6" s="79"/>
      <c r="W6" s="79">
        <f>'GF-R'!W33</f>
        <v>416000</v>
      </c>
      <c r="X6" s="79"/>
      <c r="Y6" s="79">
        <f>'GF-R'!Y33</f>
        <v>25500</v>
      </c>
      <c r="Z6" s="62"/>
      <c r="AA6" s="63">
        <f>'GF-R'!AA33</f>
        <v>6.530089628681178E-2</v>
      </c>
      <c r="AB6" s="62"/>
      <c r="AC6" s="79">
        <f>'GF-R'!AC33</f>
        <v>29217.710000000021</v>
      </c>
      <c r="AD6" s="62"/>
      <c r="AE6" s="63">
        <f>'GF-R'!AE33</f>
        <v>7.5540454553904263E-2</v>
      </c>
    </row>
    <row r="7" spans="1:31" ht="12.75" customHeight="1" x14ac:dyDescent="0.2">
      <c r="A7" s="55" t="s">
        <v>923</v>
      </c>
      <c r="C7" s="77">
        <f>'GF-R'!C37</f>
        <v>9000</v>
      </c>
      <c r="E7" s="77">
        <f>'GF-R'!E37</f>
        <v>9000</v>
      </c>
      <c r="G7" s="77">
        <f>'GF-R'!G37</f>
        <v>9000</v>
      </c>
      <c r="I7" s="77">
        <f>'GF-R'!I37</f>
        <v>9000</v>
      </c>
      <c r="K7" s="77">
        <f>'GF-R'!K37</f>
        <v>9000</v>
      </c>
      <c r="M7" s="77">
        <f>'GF-R'!M37</f>
        <v>9000</v>
      </c>
      <c r="O7" s="77">
        <f>'GF-R'!O37</f>
        <v>0</v>
      </c>
      <c r="Q7" s="77">
        <f>'GF-R'!Q37</f>
        <v>9000</v>
      </c>
      <c r="S7" s="77">
        <f>'GF-R'!S37</f>
        <v>9000</v>
      </c>
      <c r="U7" s="77">
        <f>'GF-R'!U37</f>
        <v>9000</v>
      </c>
      <c r="W7" s="77">
        <f>'GF-R'!W37</f>
        <v>9000</v>
      </c>
      <c r="Y7" s="77">
        <f>'GF-R'!Y37</f>
        <v>0</v>
      </c>
      <c r="Z7" s="57"/>
      <c r="AA7" s="58">
        <f>'GF-R'!AA37</f>
        <v>0</v>
      </c>
      <c r="AB7" s="57"/>
      <c r="AC7" s="77">
        <f>'GF-R'!AC37</f>
        <v>0</v>
      </c>
      <c r="AD7" s="57"/>
      <c r="AE7" s="58">
        <f>'GF-R'!AE37</f>
        <v>0</v>
      </c>
    </row>
    <row r="8" spans="1:31" ht="12.75" customHeight="1" x14ac:dyDescent="0.2">
      <c r="A8" s="59" t="s">
        <v>924</v>
      </c>
      <c r="B8" s="60"/>
      <c r="C8" s="79">
        <f>'GF-R'!C49</f>
        <v>6628526.3599999994</v>
      </c>
      <c r="D8" s="80"/>
      <c r="E8" s="79">
        <f>'GF-R'!E49</f>
        <v>7492747.1700000009</v>
      </c>
      <c r="F8" s="80"/>
      <c r="G8" s="79">
        <f>'GF-R'!G49</f>
        <v>8506961.3900000006</v>
      </c>
      <c r="H8" s="79"/>
      <c r="I8" s="79">
        <f>'GF-R'!I49</f>
        <v>9172850</v>
      </c>
      <c r="J8" s="79"/>
      <c r="K8" s="79">
        <f>'GF-R'!K49</f>
        <v>9492100</v>
      </c>
      <c r="L8" s="79"/>
      <c r="M8" s="79">
        <f>'GF-R'!M49</f>
        <v>9193682.0300000012</v>
      </c>
      <c r="N8" s="79"/>
      <c r="O8" s="79">
        <f>'GF-R'!O49</f>
        <v>0</v>
      </c>
      <c r="P8" s="79"/>
      <c r="Q8" s="79">
        <f>'GF-R'!Q49</f>
        <v>9193682.0300000012</v>
      </c>
      <c r="R8" s="79"/>
      <c r="S8" s="79">
        <f>'GF-R'!S49</f>
        <v>9887500</v>
      </c>
      <c r="T8" s="79"/>
      <c r="U8" s="79">
        <f>'GF-R'!U49</f>
        <v>9887500</v>
      </c>
      <c r="V8" s="79"/>
      <c r="W8" s="79">
        <f>'GF-R'!W49</f>
        <v>10132586</v>
      </c>
      <c r="X8" s="79"/>
      <c r="Y8" s="79">
        <f>'GF-R'!Y49</f>
        <v>959736</v>
      </c>
      <c r="Z8" s="62"/>
      <c r="AA8" s="63">
        <f>'GF-R'!AA49</f>
        <v>0.10462789645530016</v>
      </c>
      <c r="AB8" s="62"/>
      <c r="AC8" s="79">
        <f>'GF-R'!AC49</f>
        <v>938903.96999999986</v>
      </c>
      <c r="AD8" s="62"/>
      <c r="AE8" s="63">
        <f>'GF-R'!AE49</f>
        <v>0.1021249121882019</v>
      </c>
    </row>
    <row r="9" spans="1:31" ht="12.75" customHeight="1" x14ac:dyDescent="0.2">
      <c r="A9" s="55" t="s">
        <v>925</v>
      </c>
      <c r="C9" s="77">
        <f>'GF-R'!C56</f>
        <v>36593.379999999997</v>
      </c>
      <c r="E9" s="77">
        <f>'GF-R'!E56</f>
        <v>21019.599999999999</v>
      </c>
      <c r="G9" s="77">
        <f>'GF-R'!G56</f>
        <v>29042.22</v>
      </c>
      <c r="I9" s="77">
        <f>'GF-R'!I56</f>
        <v>32750</v>
      </c>
      <c r="K9" s="77">
        <f>'GF-R'!K56</f>
        <v>32750</v>
      </c>
      <c r="M9" s="77">
        <f>'GF-R'!M56</f>
        <v>58295.839999999997</v>
      </c>
      <c r="O9" s="77">
        <f>'GF-R'!O56</f>
        <v>0</v>
      </c>
      <c r="Q9" s="77">
        <f>'GF-R'!Q56</f>
        <v>58295.839999999997</v>
      </c>
      <c r="S9" s="77">
        <f>'GF-R'!S56</f>
        <v>16000</v>
      </c>
      <c r="U9" s="77">
        <f>'GF-R'!U56</f>
        <v>16000</v>
      </c>
      <c r="W9" s="77">
        <f>'GF-R'!W56</f>
        <v>16000</v>
      </c>
      <c r="Y9" s="77">
        <f>'GF-R'!Y56</f>
        <v>-16750</v>
      </c>
      <c r="Z9" s="57"/>
      <c r="AA9" s="58">
        <f>'GF-R'!AA56</f>
        <v>-0.51145038167938928</v>
      </c>
      <c r="AB9" s="57"/>
      <c r="AC9" s="77">
        <f>'GF-R'!AC56</f>
        <v>-42295.839999999997</v>
      </c>
      <c r="AD9" s="57"/>
      <c r="AE9" s="58">
        <f>'GF-R'!AE56</f>
        <v>-0.72553787714526452</v>
      </c>
    </row>
    <row r="10" spans="1:31" ht="12.75" customHeight="1" x14ac:dyDescent="0.2">
      <c r="A10" s="59" t="s">
        <v>926</v>
      </c>
      <c r="B10" s="60"/>
      <c r="C10" s="79">
        <f>'GF-R'!C69</f>
        <v>382938.02</v>
      </c>
      <c r="D10" s="80"/>
      <c r="E10" s="79">
        <f>'GF-R'!E69</f>
        <v>486239.19999999995</v>
      </c>
      <c r="F10" s="80"/>
      <c r="G10" s="79">
        <f>'GF-R'!G69</f>
        <v>648599.8899999999</v>
      </c>
      <c r="H10" s="79"/>
      <c r="I10" s="79">
        <f>'GF-R'!I69</f>
        <v>691250</v>
      </c>
      <c r="J10" s="79"/>
      <c r="K10" s="79">
        <f>'GF-R'!K69</f>
        <v>715250</v>
      </c>
      <c r="L10" s="79"/>
      <c r="M10" s="79">
        <f>'GF-R'!M69</f>
        <v>1132031.47</v>
      </c>
      <c r="N10" s="79"/>
      <c r="O10" s="79">
        <f>'GF-R'!O69</f>
        <v>0</v>
      </c>
      <c r="P10" s="79"/>
      <c r="Q10" s="79">
        <f>'GF-R'!Q69</f>
        <v>1132031.47</v>
      </c>
      <c r="R10" s="79"/>
      <c r="S10" s="79">
        <f>'GF-R'!S69</f>
        <v>822000</v>
      </c>
      <c r="T10" s="79"/>
      <c r="U10" s="79">
        <f>'GF-R'!U69</f>
        <v>724500</v>
      </c>
      <c r="V10" s="79"/>
      <c r="W10" s="79">
        <f>'GF-R'!W69</f>
        <v>728000</v>
      </c>
      <c r="X10" s="79"/>
      <c r="Y10" s="79">
        <f>'GF-R'!Y69</f>
        <v>36750</v>
      </c>
      <c r="Z10" s="62"/>
      <c r="AA10" s="63">
        <f>'GF-R'!AA69</f>
        <v>5.3164556962025315E-2</v>
      </c>
      <c r="AB10" s="62"/>
      <c r="AC10" s="79">
        <f>'GF-R'!AC69</f>
        <v>-404031.47000000003</v>
      </c>
      <c r="AD10" s="62"/>
      <c r="AE10" s="63">
        <f>'GF-R'!AE69</f>
        <v>-0.35690833753941492</v>
      </c>
    </row>
    <row r="11" spans="1:31" ht="12.75" customHeight="1" x14ac:dyDescent="0.2">
      <c r="A11" s="55" t="s">
        <v>927</v>
      </c>
      <c r="C11" s="77">
        <f>'GF-R'!C81</f>
        <v>717561.19</v>
      </c>
      <c r="E11" s="77">
        <f>'GF-R'!E81</f>
        <v>849292.13</v>
      </c>
      <c r="G11" s="77">
        <f>'GF-R'!G81</f>
        <v>1047449.9199999999</v>
      </c>
      <c r="I11" s="77">
        <f>'GF-R'!I81</f>
        <v>956450</v>
      </c>
      <c r="K11" s="77">
        <f>'GF-R'!K81</f>
        <v>1038000</v>
      </c>
      <c r="M11" s="77">
        <f>'GF-R'!M81</f>
        <v>974023.77</v>
      </c>
      <c r="O11" s="77">
        <f>'GF-R'!O81</f>
        <v>0</v>
      </c>
      <c r="Q11" s="77">
        <f>'GF-R'!Q81</f>
        <v>974023.77</v>
      </c>
      <c r="S11" s="77">
        <f>'GF-R'!S81</f>
        <v>1021000</v>
      </c>
      <c r="U11" s="77">
        <f>'GF-R'!U81</f>
        <v>1021000</v>
      </c>
      <c r="W11" s="77">
        <f>'GF-R'!W81</f>
        <v>1094700</v>
      </c>
      <c r="Y11" s="77">
        <f>'GF-R'!Y81</f>
        <v>138250</v>
      </c>
      <c r="Z11" s="57"/>
      <c r="AA11" s="58">
        <f>'GF-R'!AA81</f>
        <v>0.14454493177897432</v>
      </c>
      <c r="AB11" s="57"/>
      <c r="AC11" s="77">
        <f>'GF-R'!AC81</f>
        <v>120676.23000000004</v>
      </c>
      <c r="AD11" s="57"/>
      <c r="AE11" s="58">
        <f>'GF-R'!AE81</f>
        <v>0.12389454314857228</v>
      </c>
    </row>
    <row r="12" spans="1:31" ht="12.75" customHeight="1" x14ac:dyDescent="0.2">
      <c r="A12" s="59" t="s">
        <v>928</v>
      </c>
      <c r="B12" s="60"/>
      <c r="C12" s="79">
        <f>'GF-R'!C86</f>
        <v>521729.55</v>
      </c>
      <c r="D12" s="80"/>
      <c r="E12" s="79">
        <f>'GF-R'!E86</f>
        <v>455628.03</v>
      </c>
      <c r="F12" s="80"/>
      <c r="G12" s="79">
        <f>'GF-R'!G86</f>
        <v>522035.16</v>
      </c>
      <c r="H12" s="79"/>
      <c r="I12" s="79">
        <f>'GF-R'!I86</f>
        <v>570000</v>
      </c>
      <c r="J12" s="79"/>
      <c r="K12" s="79">
        <f>'GF-R'!K86</f>
        <v>570000</v>
      </c>
      <c r="L12" s="79"/>
      <c r="M12" s="79">
        <f>'GF-R'!M86</f>
        <v>539681.30000000005</v>
      </c>
      <c r="N12" s="79"/>
      <c r="O12" s="79">
        <f>'GF-R'!O86</f>
        <v>0</v>
      </c>
      <c r="P12" s="79"/>
      <c r="Q12" s="79">
        <f>'GF-R'!Q86</f>
        <v>539681.30000000005</v>
      </c>
      <c r="R12" s="79"/>
      <c r="S12" s="79">
        <f>'GF-R'!S86</f>
        <v>530000</v>
      </c>
      <c r="T12" s="79"/>
      <c r="U12" s="79">
        <f>'GF-R'!U86</f>
        <v>530000</v>
      </c>
      <c r="V12" s="79"/>
      <c r="W12" s="79">
        <f>'GF-R'!W86</f>
        <v>545000</v>
      </c>
      <c r="X12" s="79"/>
      <c r="Y12" s="79">
        <f>'GF-R'!Y86</f>
        <v>-25000</v>
      </c>
      <c r="Z12" s="62"/>
      <c r="AA12" s="63">
        <f>'GF-R'!AA86</f>
        <v>-4.3859649122807015E-2</v>
      </c>
      <c r="AB12" s="62"/>
      <c r="AC12" s="79">
        <f>'GF-R'!AC86</f>
        <v>5318.6999999999534</v>
      </c>
      <c r="AD12" s="62"/>
      <c r="AE12" s="63">
        <f>'GF-R'!AE86</f>
        <v>9.8552608734079773E-3</v>
      </c>
    </row>
    <row r="13" spans="1:31" ht="12.75" customHeight="1" x14ac:dyDescent="0.2">
      <c r="A13" s="55" t="s">
        <v>773</v>
      </c>
      <c r="C13" s="77">
        <f>'GF-R'!C90</f>
        <v>43299.94</v>
      </c>
      <c r="E13" s="77">
        <f>'GF-R'!E90</f>
        <v>3722.36</v>
      </c>
      <c r="G13" s="77">
        <f>'GF-R'!G90</f>
        <v>61974.78</v>
      </c>
      <c r="I13" s="77">
        <f>'GF-R'!I90</f>
        <v>15000</v>
      </c>
      <c r="K13" s="77">
        <f>'GF-R'!K90</f>
        <v>475000</v>
      </c>
      <c r="M13" s="77">
        <f>'GF-R'!M90</f>
        <v>546977.04</v>
      </c>
      <c r="O13" s="77">
        <f>'GF-R'!O90</f>
        <v>0</v>
      </c>
      <c r="Q13" s="77">
        <f>'GF-R'!Q90</f>
        <v>546977.04</v>
      </c>
      <c r="S13" s="77">
        <f>'GF-R'!S90</f>
        <v>100000</v>
      </c>
      <c r="U13" s="77">
        <f>'GF-R'!U90</f>
        <v>100000</v>
      </c>
      <c r="W13" s="77">
        <f>'GF-R'!W90</f>
        <v>100000</v>
      </c>
      <c r="Y13" s="77">
        <f>'GF-R'!Y90</f>
        <v>85000</v>
      </c>
      <c r="Z13" s="57"/>
      <c r="AA13" s="58">
        <f>'GF-R'!AA90</f>
        <v>5.666666666666667</v>
      </c>
      <c r="AB13" s="57"/>
      <c r="AC13" s="77">
        <f>'GF-R'!AC90</f>
        <v>-446977.04000000004</v>
      </c>
      <c r="AD13" s="57"/>
      <c r="AE13" s="58">
        <f>'GF-R'!AE90</f>
        <v>-0.81717696962197905</v>
      </c>
    </row>
    <row r="14" spans="1:31" ht="12.75" customHeight="1" x14ac:dyDescent="0.2">
      <c r="A14" s="59" t="s">
        <v>1409</v>
      </c>
      <c r="B14" s="60"/>
      <c r="C14" s="79">
        <f>'GF-R'!C94</f>
        <v>0</v>
      </c>
      <c r="D14" s="80"/>
      <c r="E14" s="79">
        <f>'GF-R'!E94</f>
        <v>0</v>
      </c>
      <c r="F14" s="80"/>
      <c r="G14" s="79">
        <f>'GF-R'!G94</f>
        <v>0</v>
      </c>
      <c r="H14" s="79"/>
      <c r="I14" s="79">
        <f>'GF-R'!I94</f>
        <v>0</v>
      </c>
      <c r="J14" s="79"/>
      <c r="K14" s="79">
        <f>'GF-R'!K94</f>
        <v>0</v>
      </c>
      <c r="L14" s="79"/>
      <c r="M14" s="79">
        <f>'GF-R'!M94</f>
        <v>0</v>
      </c>
      <c r="N14" s="79"/>
      <c r="O14" s="79">
        <f>'GF-R'!O94</f>
        <v>0</v>
      </c>
      <c r="P14" s="79"/>
      <c r="Q14" s="79">
        <f>'GF-R'!Q94</f>
        <v>0</v>
      </c>
      <c r="R14" s="79"/>
      <c r="S14" s="79">
        <f>'GF-R'!S94</f>
        <v>600000</v>
      </c>
      <c r="T14" s="79"/>
      <c r="U14" s="79">
        <f>'GF-R'!U94</f>
        <v>600000</v>
      </c>
      <c r="V14" s="79"/>
      <c r="W14" s="79">
        <f>'GF-R'!W94</f>
        <v>600000</v>
      </c>
      <c r="X14" s="79"/>
      <c r="Y14" s="79">
        <f>'GF-R'!Y94</f>
        <v>600000</v>
      </c>
      <c r="Z14" s="62"/>
      <c r="AA14" s="63" t="e">
        <f>'GF-R'!AA94</f>
        <v>#DIV/0!</v>
      </c>
      <c r="AB14" s="62"/>
      <c r="AC14" s="79">
        <f>'GF-R'!AC94</f>
        <v>600000</v>
      </c>
      <c r="AD14" s="62"/>
      <c r="AE14" s="63" t="e">
        <f>'GF-R'!AE94</f>
        <v>#DIV/0!</v>
      </c>
    </row>
    <row r="15" spans="1:31" ht="12.75" customHeight="1" x14ac:dyDescent="0.2">
      <c r="Z15" s="57"/>
      <c r="AA15" s="58"/>
      <c r="AB15" s="57"/>
      <c r="AD15" s="57"/>
      <c r="AE15" s="58"/>
    </row>
    <row r="16" spans="1:31" ht="12.75" customHeight="1" thickBot="1" x14ac:dyDescent="0.25">
      <c r="A16" s="67" t="s">
        <v>929</v>
      </c>
      <c r="C16" s="83">
        <f>SUM(C5:C14)</f>
        <v>9590603.8699999992</v>
      </c>
      <c r="E16" s="83">
        <f>SUM(E5:E14)</f>
        <v>10560378.02</v>
      </c>
      <c r="G16" s="83">
        <f>SUM(G5:G14)</f>
        <v>12577709.570000002</v>
      </c>
      <c r="I16" s="83">
        <f>SUM(I5:I14)</f>
        <v>12586400</v>
      </c>
      <c r="K16" s="83">
        <f>SUM(K5:K14)</f>
        <v>13471200</v>
      </c>
      <c r="M16" s="82">
        <f>SUM(M5:M14)</f>
        <v>13620907.900000002</v>
      </c>
      <c r="O16" s="82">
        <f>SUM(O5:O14)</f>
        <v>0</v>
      </c>
      <c r="Q16" s="83">
        <f>SUM(Q5:Q14)</f>
        <v>13620907.900000002</v>
      </c>
      <c r="S16" s="82">
        <f>SUM(S5:S14)</f>
        <v>13547050</v>
      </c>
      <c r="U16" s="82">
        <f>SUM(U5:U14)</f>
        <v>13449550</v>
      </c>
      <c r="W16" s="83">
        <f>SUM(W5:W14)</f>
        <v>13804836</v>
      </c>
      <c r="Y16" s="82">
        <f>SUM(Y5:Y14)</f>
        <v>1218436</v>
      </c>
      <c r="Z16" s="57"/>
      <c r="AA16" s="125">
        <f>IF(W16=0,"N/A",PRODUCT(Y16,1/I16))</f>
        <v>9.6805758596580443E-2</v>
      </c>
      <c r="AB16" s="57"/>
      <c r="AC16" s="82">
        <f>SUM(AC5:AC14)</f>
        <v>183928.09999999986</v>
      </c>
      <c r="AD16" s="57"/>
      <c r="AE16" s="125">
        <f>IF(W16=0,"N/A",PRODUCT(AC16,1/Q16))</f>
        <v>1.3503365660375683E-2</v>
      </c>
    </row>
    <row r="17" spans="1:31" ht="12.75" customHeight="1" thickTop="1" x14ac:dyDescent="0.2">
      <c r="Z17" s="57"/>
      <c r="AA17" s="58"/>
      <c r="AB17" s="57"/>
      <c r="AD17" s="57"/>
      <c r="AE17" s="58"/>
    </row>
    <row r="18" spans="1:31" ht="12.75" customHeight="1" x14ac:dyDescent="0.2">
      <c r="Z18" s="57"/>
      <c r="AA18" s="58"/>
      <c r="AB18" s="57"/>
      <c r="AD18" s="57"/>
      <c r="AE18" s="58"/>
    </row>
    <row r="19" spans="1:31" ht="12.75" customHeight="1" x14ac:dyDescent="0.2">
      <c r="Z19" s="57"/>
      <c r="AA19" s="58"/>
      <c r="AB19" s="57"/>
      <c r="AD19" s="57"/>
      <c r="AE19" s="58"/>
    </row>
    <row r="20" spans="1:31" ht="12.75" customHeight="1" x14ac:dyDescent="0.2">
      <c r="A20" s="67" t="s">
        <v>930</v>
      </c>
      <c r="Z20" s="57"/>
      <c r="AA20" s="58"/>
      <c r="AB20" s="57"/>
      <c r="AD20" s="57"/>
      <c r="AE20" s="58"/>
    </row>
    <row r="21" spans="1:31" ht="12.75" customHeight="1" x14ac:dyDescent="0.2">
      <c r="A21" s="55" t="s">
        <v>771</v>
      </c>
      <c r="C21" s="77">
        <f>'GF-E ADM'!C85</f>
        <v>1879129.35</v>
      </c>
      <c r="E21" s="77">
        <f>'GF-E ADM'!E85</f>
        <v>2280019.65</v>
      </c>
      <c r="G21" s="77">
        <f>'GF-E ADM'!G85</f>
        <v>2461588.6</v>
      </c>
      <c r="I21" s="77">
        <f>'GF-E ADM'!I85</f>
        <v>2881000</v>
      </c>
      <c r="K21" s="77">
        <f>'GF-E ADM'!K85</f>
        <v>2929000</v>
      </c>
      <c r="M21" s="77">
        <f>'GF-E ADM'!M85</f>
        <v>2426251.42</v>
      </c>
      <c r="O21" s="77">
        <f>'GF-E ADM'!O85</f>
        <v>0</v>
      </c>
      <c r="Q21" s="77">
        <f>'GF-E ADM'!Q85</f>
        <v>2426251.42</v>
      </c>
      <c r="S21" s="77">
        <f>'GF-E ADM'!S85</f>
        <v>2885500</v>
      </c>
      <c r="U21" s="77">
        <f>'GF-E ADM'!U85</f>
        <v>3000000</v>
      </c>
      <c r="W21" s="77">
        <f>'GF-E ADM'!W85</f>
        <v>3006000</v>
      </c>
      <c r="Y21" s="77">
        <f>'GF-E ADM'!Y85</f>
        <v>125000</v>
      </c>
      <c r="Z21" s="57"/>
      <c r="AA21" s="58">
        <f>'GF-E ADM'!AA85</f>
        <v>4.3387712599791739E-2</v>
      </c>
      <c r="AB21" s="57"/>
      <c r="AC21" s="77">
        <f>'GF-E ADM'!AC85</f>
        <v>579748.57999999996</v>
      </c>
      <c r="AD21" s="57"/>
      <c r="AE21" s="58">
        <f>'GF-E ADM'!AE85</f>
        <v>0.23894827024975013</v>
      </c>
    </row>
    <row r="22" spans="1:31" ht="12.75" customHeight="1" x14ac:dyDescent="0.2">
      <c r="A22" s="59" t="s">
        <v>931</v>
      </c>
      <c r="B22" s="60"/>
      <c r="C22" s="79">
        <f>'GF-E IT'!C30</f>
        <v>199344.75999999998</v>
      </c>
      <c r="D22" s="80"/>
      <c r="E22" s="79">
        <f>'GF-E IT'!E30</f>
        <v>285825.48</v>
      </c>
      <c r="F22" s="80"/>
      <c r="G22" s="79">
        <f>'GF-E IT'!G30</f>
        <v>335381.02</v>
      </c>
      <c r="H22" s="79"/>
      <c r="I22" s="79">
        <f>'GF-E IT'!I30</f>
        <v>219100</v>
      </c>
      <c r="J22" s="79"/>
      <c r="K22" s="79">
        <f>'GF-E IT'!K30</f>
        <v>219100</v>
      </c>
      <c r="L22" s="79"/>
      <c r="M22" s="79">
        <f>'GF-E IT'!M30</f>
        <v>221739.83000000002</v>
      </c>
      <c r="N22" s="79"/>
      <c r="O22" s="79">
        <f>'GF-E IT'!O30</f>
        <v>0</v>
      </c>
      <c r="P22" s="79"/>
      <c r="Q22" s="79">
        <f>'GF-E IT'!Q30</f>
        <v>221739.83000000002</v>
      </c>
      <c r="R22" s="79"/>
      <c r="S22" s="79">
        <f>'GF-E IT'!S30</f>
        <v>235750</v>
      </c>
      <c r="T22" s="79"/>
      <c r="U22" s="79">
        <f>'GF-E IT'!U30</f>
        <v>241860</v>
      </c>
      <c r="V22" s="79"/>
      <c r="W22" s="79">
        <f>'GF-E IT'!W30</f>
        <v>242300</v>
      </c>
      <c r="X22" s="79"/>
      <c r="Y22" s="79">
        <f>'GF-E IT'!Y30</f>
        <v>23200</v>
      </c>
      <c r="Z22" s="62"/>
      <c r="AA22" s="63">
        <f>'GF-E IT'!AA30</f>
        <v>0.10588772250114104</v>
      </c>
      <c r="AB22" s="62"/>
      <c r="AC22" s="79">
        <f>'GF-E IT'!AC30</f>
        <v>20560.170000000002</v>
      </c>
      <c r="AD22" s="62"/>
      <c r="AE22" s="63">
        <f>'GF-E IT'!AE30</f>
        <v>9.2722042765163118E-2</v>
      </c>
    </row>
    <row r="23" spans="1:31" ht="12.75" customHeight="1" x14ac:dyDescent="0.2">
      <c r="A23" s="55" t="s">
        <v>922</v>
      </c>
      <c r="C23" s="77">
        <f>'GF-E FIRE'!C51</f>
        <v>2664247.1199999996</v>
      </c>
      <c r="E23" s="77">
        <f>'GF-E FIRE'!E51</f>
        <v>2505575.3200000003</v>
      </c>
      <c r="G23" s="77">
        <f>'GF-E FIRE'!G51</f>
        <v>2810083.3700000006</v>
      </c>
      <c r="I23" s="77">
        <f>'GF-E FIRE'!I51</f>
        <v>3020100</v>
      </c>
      <c r="K23" s="77">
        <f>'GF-E FIRE'!K51</f>
        <v>3340100</v>
      </c>
      <c r="M23" s="77">
        <f>'GF-E FIRE'!M51</f>
        <v>3324482.04</v>
      </c>
      <c r="O23" s="77">
        <f>'GF-E FIRE'!O51</f>
        <v>0</v>
      </c>
      <c r="Q23" s="77">
        <f>'GF-E FIRE'!Q51</f>
        <v>3324482.04</v>
      </c>
      <c r="S23" s="77">
        <f>'GF-E FIRE'!S51</f>
        <v>2958000</v>
      </c>
      <c r="U23" s="77">
        <f>'GF-E FIRE'!U51</f>
        <v>3044250</v>
      </c>
      <c r="W23" s="77">
        <f>'GF-E FIRE'!W51</f>
        <v>3157750</v>
      </c>
      <c r="Y23" s="77">
        <f>'GF-E FIRE'!Y51</f>
        <v>137650</v>
      </c>
      <c r="Z23" s="57"/>
      <c r="AA23" s="58">
        <f>'GF-E FIRE'!AA51</f>
        <v>4.5577960994669049E-2</v>
      </c>
      <c r="AB23" s="57"/>
      <c r="AC23" s="77">
        <f>'GF-E FIRE'!AC51</f>
        <v>-166732.03999999992</v>
      </c>
      <c r="AD23" s="57"/>
      <c r="AE23" s="58">
        <f>'GF-E FIRE'!AE51</f>
        <v>-5.0152787109055921E-2</v>
      </c>
    </row>
    <row r="24" spans="1:31" ht="12.75" customHeight="1" x14ac:dyDescent="0.2">
      <c r="A24" s="59" t="s">
        <v>925</v>
      </c>
      <c r="B24" s="60"/>
      <c r="C24" s="79">
        <f>'GF-E POL'!C49</f>
        <v>2292284.08</v>
      </c>
      <c r="D24" s="80"/>
      <c r="E24" s="79">
        <f>'GF-E POL'!E49</f>
        <v>2398502.2399999998</v>
      </c>
      <c r="F24" s="80"/>
      <c r="G24" s="79">
        <f>'GF-E POL'!G49</f>
        <v>2431726.94</v>
      </c>
      <c r="H24" s="79"/>
      <c r="I24" s="79">
        <f>'GF-E POL'!I49</f>
        <v>3016050</v>
      </c>
      <c r="J24" s="79"/>
      <c r="K24" s="79">
        <f>'GF-E POL'!K49</f>
        <v>3016050</v>
      </c>
      <c r="L24" s="79"/>
      <c r="M24" s="79">
        <f>'GF-E POL'!M49</f>
        <v>3029686.4599999995</v>
      </c>
      <c r="N24" s="79"/>
      <c r="O24" s="79">
        <f>'GF-E POL'!O49</f>
        <v>0</v>
      </c>
      <c r="P24" s="79"/>
      <c r="Q24" s="79">
        <f>'GF-E POL'!Q49</f>
        <v>3029686.4599999995</v>
      </c>
      <c r="R24" s="79"/>
      <c r="S24" s="79">
        <f>'GF-E POL'!S49</f>
        <v>3160750</v>
      </c>
      <c r="T24" s="79"/>
      <c r="U24" s="79">
        <f>'GF-E POL'!U49</f>
        <v>3138250</v>
      </c>
      <c r="V24" s="79"/>
      <c r="W24" s="79">
        <f>'GF-E POL'!W49</f>
        <v>3160750</v>
      </c>
      <c r="X24" s="79"/>
      <c r="Y24" s="79">
        <f>'GF-E POL'!Y49</f>
        <v>144700</v>
      </c>
      <c r="Z24" s="62"/>
      <c r="AA24" s="63">
        <f>'GF-E POL'!AA49</f>
        <v>4.797665821189967E-2</v>
      </c>
      <c r="AB24" s="62"/>
      <c r="AC24" s="79">
        <f>'GF-E POL'!AC49</f>
        <v>131063.54000000007</v>
      </c>
      <c r="AD24" s="62"/>
      <c r="AE24" s="63">
        <f>'GF-E POL'!AE49</f>
        <v>4.3259770187572509E-2</v>
      </c>
    </row>
    <row r="25" spans="1:31" ht="12.75" customHeight="1" x14ac:dyDescent="0.2">
      <c r="A25" s="55" t="s">
        <v>932</v>
      </c>
      <c r="C25" s="77">
        <f>'GF-E AC'!C34</f>
        <v>159735.01999999999</v>
      </c>
      <c r="E25" s="77">
        <f>'GF-E AC'!E34</f>
        <v>176822.33</v>
      </c>
      <c r="G25" s="77">
        <f>'GF-E AC'!G34</f>
        <v>144839.46000000002</v>
      </c>
      <c r="I25" s="77">
        <f>'GF-E AC'!I34</f>
        <v>211650</v>
      </c>
      <c r="K25" s="77">
        <f>'GF-E AC'!K34</f>
        <v>211650</v>
      </c>
      <c r="M25" s="77">
        <f>'GF-E AC'!M34</f>
        <v>124446.21999999999</v>
      </c>
      <c r="O25" s="77">
        <f>'GF-E AC'!O34</f>
        <v>0</v>
      </c>
      <c r="Q25" s="77">
        <f>'GF-E AC'!Q34</f>
        <v>124446.21999999999</v>
      </c>
      <c r="S25" s="77">
        <f>'GF-E AC'!S34</f>
        <v>216750</v>
      </c>
      <c r="U25" s="77">
        <f>'GF-E AC'!U34</f>
        <v>215300</v>
      </c>
      <c r="W25" s="77">
        <f>'GF-E AC'!W34</f>
        <v>173500</v>
      </c>
      <c r="Y25" s="77">
        <f>'GF-E AC'!Y34</f>
        <v>-38150</v>
      </c>
      <c r="Z25" s="57"/>
      <c r="AA25" s="58">
        <f>'GF-E AC'!AA34</f>
        <v>-0.18025041341837938</v>
      </c>
      <c r="AB25" s="57"/>
      <c r="AC25" s="77">
        <f>'GF-E AC'!AC34</f>
        <v>49053.78</v>
      </c>
      <c r="AD25" s="57"/>
      <c r="AE25" s="58">
        <f>'GF-E AC'!AE34</f>
        <v>0.39417653665977159</v>
      </c>
    </row>
    <row r="26" spans="1:31" ht="12.75" customHeight="1" x14ac:dyDescent="0.2">
      <c r="A26" s="59" t="s">
        <v>926</v>
      </c>
      <c r="B26" s="60"/>
      <c r="C26" s="79">
        <f>'GF-E DEV'!C46</f>
        <v>635530.67000000004</v>
      </c>
      <c r="D26" s="80"/>
      <c r="E26" s="79">
        <f>'GF-E DEV'!E46</f>
        <v>750674.50000000012</v>
      </c>
      <c r="F26" s="80"/>
      <c r="G26" s="79">
        <f>'GF-E DEV'!G46</f>
        <v>955135.20000000007</v>
      </c>
      <c r="H26" s="79"/>
      <c r="I26" s="79">
        <f>'GF-E DEV'!I46</f>
        <v>1234450</v>
      </c>
      <c r="J26" s="79"/>
      <c r="K26" s="79">
        <f>'GF-E DEV'!K46</f>
        <v>1258450</v>
      </c>
      <c r="L26" s="79"/>
      <c r="M26" s="79">
        <f>'GF-E DEV'!M46</f>
        <v>1264145.52</v>
      </c>
      <c r="N26" s="79"/>
      <c r="O26" s="79">
        <f>'GF-E DEV'!O46</f>
        <v>0</v>
      </c>
      <c r="P26" s="79"/>
      <c r="Q26" s="79">
        <f>'GF-E DEV'!Q46</f>
        <v>1264145.52</v>
      </c>
      <c r="R26" s="79"/>
      <c r="S26" s="79">
        <f>'GF-E DEV'!S46</f>
        <v>1251000</v>
      </c>
      <c r="T26" s="79"/>
      <c r="U26" s="79">
        <f>'GF-E DEV'!U46</f>
        <v>1261000</v>
      </c>
      <c r="V26" s="79"/>
      <c r="W26" s="79">
        <f>'GF-E DEV'!W46</f>
        <v>1405500</v>
      </c>
      <c r="X26" s="79"/>
      <c r="Y26" s="79">
        <f>'GF-E DEV'!Y46</f>
        <v>171050</v>
      </c>
      <c r="Z26" s="62"/>
      <c r="AA26" s="63">
        <f>'GF-E DEV'!AA46</f>
        <v>0.13856373283648588</v>
      </c>
      <c r="AB26" s="62"/>
      <c r="AC26" s="79">
        <f>'GF-E DEV'!AC46</f>
        <v>141354.48000000004</v>
      </c>
      <c r="AD26" s="62"/>
      <c r="AE26" s="63">
        <f>'GF-E DEV'!AE46</f>
        <v>0.11181820270185353</v>
      </c>
    </row>
    <row r="27" spans="1:31" ht="12.75" customHeight="1" x14ac:dyDescent="0.2">
      <c r="A27" s="55" t="s">
        <v>927</v>
      </c>
      <c r="C27" s="77">
        <f>'GF-E STR'!C49</f>
        <v>472183.83999999997</v>
      </c>
      <c r="E27" s="77">
        <f>'GF-E STR'!E49</f>
        <v>655641.53</v>
      </c>
      <c r="G27" s="77">
        <f>'GF-E STR'!G49</f>
        <v>803496.4</v>
      </c>
      <c r="I27" s="77">
        <f>'GF-E STR'!I49</f>
        <v>797750</v>
      </c>
      <c r="K27" s="77">
        <f>'GF-E STR'!K49</f>
        <v>1841850</v>
      </c>
      <c r="M27" s="77">
        <f>'GF-E STR'!M49</f>
        <v>1744456.1500000001</v>
      </c>
      <c r="O27" s="77">
        <f>'GF-E STR'!O49</f>
        <v>0</v>
      </c>
      <c r="Q27" s="77">
        <f>'GF-E STR'!Q49</f>
        <v>1744456.1500000001</v>
      </c>
      <c r="S27" s="77">
        <f>'GF-E STR'!S49</f>
        <v>802250</v>
      </c>
      <c r="U27" s="77">
        <f>'GF-E STR'!U49</f>
        <v>900750</v>
      </c>
      <c r="W27" s="77">
        <f>'GF-E STR'!W49</f>
        <v>941350</v>
      </c>
      <c r="Y27" s="77">
        <f>'GF-E STR'!Y49</f>
        <v>143600</v>
      </c>
      <c r="Z27" s="57"/>
      <c r="AA27" s="58">
        <f>'GF-E STR'!AA49</f>
        <v>0.18000626762770292</v>
      </c>
      <c r="AB27" s="57"/>
      <c r="AC27" s="77">
        <f>'GF-E STR'!AC49</f>
        <v>-803106.15</v>
      </c>
      <c r="AD27" s="57"/>
      <c r="AE27" s="58">
        <f>'GF-E STR'!AE49</f>
        <v>-0.46037623244356124</v>
      </c>
    </row>
    <row r="28" spans="1:31" ht="12.75" customHeight="1" x14ac:dyDescent="0.2">
      <c r="A28" s="59" t="s">
        <v>928</v>
      </c>
      <c r="B28" s="60"/>
      <c r="C28" s="79">
        <f>'GF-E MOW'!C10</f>
        <v>598882.64</v>
      </c>
      <c r="D28" s="80"/>
      <c r="E28" s="79">
        <f>'GF-E MOW'!E10</f>
        <v>646029.35</v>
      </c>
      <c r="F28" s="80"/>
      <c r="G28" s="79">
        <f>'GF-E MOW'!G10</f>
        <v>603302.93000000005</v>
      </c>
      <c r="H28" s="79"/>
      <c r="I28" s="79">
        <f>'GF-E MOW'!I10</f>
        <v>655000</v>
      </c>
      <c r="J28" s="79"/>
      <c r="K28" s="79">
        <f>'GF-E MOW'!K10</f>
        <v>655000</v>
      </c>
      <c r="L28" s="79"/>
      <c r="M28" s="79">
        <f>'GF-E MOW'!M10</f>
        <v>624656.5</v>
      </c>
      <c r="N28" s="79"/>
      <c r="O28" s="79">
        <f>'GF-E MOW'!O10</f>
        <v>0</v>
      </c>
      <c r="P28" s="79"/>
      <c r="Q28" s="79">
        <f>'GF-E MOW'!Q10</f>
        <v>624656.5</v>
      </c>
      <c r="R28" s="79"/>
      <c r="S28" s="79">
        <f>'GF-E MOW'!S10</f>
        <v>655000</v>
      </c>
      <c r="T28" s="79"/>
      <c r="U28" s="79">
        <f>'GF-E MOW'!U10</f>
        <v>655000</v>
      </c>
      <c r="V28" s="79"/>
      <c r="W28" s="79">
        <f>'GF-E MOW'!W10</f>
        <v>655000</v>
      </c>
      <c r="X28" s="79"/>
      <c r="Y28" s="79">
        <f>'GF-E MOW'!Y10</f>
        <v>0</v>
      </c>
      <c r="Z28" s="62"/>
      <c r="AA28" s="63">
        <f>'GF-E MOW'!AA10</f>
        <v>0</v>
      </c>
      <c r="AB28" s="62"/>
      <c r="AC28" s="79">
        <f>'GF-E MOW'!AC10</f>
        <v>30343.5</v>
      </c>
      <c r="AD28" s="62"/>
      <c r="AE28" s="63">
        <f>'GF-E MOW'!AE10</f>
        <v>4.8576297533124202E-2</v>
      </c>
    </row>
    <row r="29" spans="1:31" ht="12.75" customHeight="1" x14ac:dyDescent="0.2">
      <c r="A29" s="55" t="s">
        <v>1366</v>
      </c>
      <c r="C29" s="77">
        <f>'GF-XFER TO'!C10</f>
        <v>0</v>
      </c>
      <c r="E29" s="77">
        <f>'GF-XFER TO'!E10</f>
        <v>0</v>
      </c>
      <c r="G29" s="77">
        <f>'GF-XFER TO'!G10</f>
        <v>0</v>
      </c>
      <c r="I29" s="77">
        <f>'GF-XFER TO'!I10</f>
        <v>0</v>
      </c>
      <c r="K29" s="77">
        <f>'GF-XFER TO'!K10</f>
        <v>0</v>
      </c>
      <c r="M29" s="77">
        <f>'GF-XFER TO'!M10</f>
        <v>0</v>
      </c>
      <c r="O29" s="77">
        <f>'GF-XFER TO'!O10</f>
        <v>0</v>
      </c>
      <c r="Q29" s="77">
        <f>'GF-XFER TO'!Q10</f>
        <v>0</v>
      </c>
      <c r="S29" s="77">
        <f>'GF-XFER TO'!S10</f>
        <v>0</v>
      </c>
      <c r="U29" s="77">
        <f>'GF-XFER TO'!U10</f>
        <v>0</v>
      </c>
      <c r="W29" s="77">
        <f>'GF-XFER TO'!W10</f>
        <v>1062686</v>
      </c>
      <c r="Y29" s="77">
        <f>'GF-XFER TO'!Y10</f>
        <v>1062686</v>
      </c>
      <c r="Z29" s="57"/>
      <c r="AA29" s="58" t="e">
        <f>'GF-XFER TO'!AA10</f>
        <v>#DIV/0!</v>
      </c>
      <c r="AB29" s="57"/>
      <c r="AC29" s="77">
        <f>'GF-XFER TO'!AC10</f>
        <v>1062686</v>
      </c>
      <c r="AD29" s="57"/>
      <c r="AE29" s="58" t="e">
        <f>'GF-XFER TO'!AE10</f>
        <v>#DIV/0!</v>
      </c>
    </row>
    <row r="30" spans="1:31" ht="12.75" customHeight="1" x14ac:dyDescent="0.2">
      <c r="A30" s="59" t="s">
        <v>388</v>
      </c>
      <c r="B30" s="60"/>
      <c r="C30" s="79">
        <f>'GF-E CAP'!C13</f>
        <v>908504.64</v>
      </c>
      <c r="D30" s="80"/>
      <c r="E30" s="79">
        <f>'GF-E CAP'!E13</f>
        <v>39739</v>
      </c>
      <c r="F30" s="80"/>
      <c r="G30" s="79">
        <f>'GF-E CAP'!G13</f>
        <v>0</v>
      </c>
      <c r="H30" s="79"/>
      <c r="I30" s="79">
        <f>'GF-E CAP'!I13</f>
        <v>0</v>
      </c>
      <c r="J30" s="79"/>
      <c r="K30" s="79">
        <f>'GF-E CAP'!K13</f>
        <v>0</v>
      </c>
      <c r="L30" s="79"/>
      <c r="M30" s="79">
        <f>'GF-E CAP'!M13</f>
        <v>0</v>
      </c>
      <c r="N30" s="79"/>
      <c r="O30" s="79">
        <f>'GF-E CAP'!O13</f>
        <v>0</v>
      </c>
      <c r="P30" s="79"/>
      <c r="Q30" s="79">
        <f>'GF-E CAP'!Q13</f>
        <v>0</v>
      </c>
      <c r="R30" s="79"/>
      <c r="S30" s="79">
        <f>'GF-E CAP'!S13</f>
        <v>0</v>
      </c>
      <c r="T30" s="79"/>
      <c r="U30" s="79">
        <f>'GF-E CAP'!U13</f>
        <v>0</v>
      </c>
      <c r="V30" s="79"/>
      <c r="W30" s="79">
        <f>'GF-E CAP'!W13</f>
        <v>0</v>
      </c>
      <c r="X30" s="79"/>
      <c r="Y30" s="79">
        <f>'GF-E CAP'!Y13</f>
        <v>0</v>
      </c>
      <c r="Z30" s="62"/>
      <c r="AA30" s="63" t="str">
        <f>'GF-E CAP'!AA13</f>
        <v>N/A</v>
      </c>
      <c r="AB30" s="62"/>
      <c r="AC30" s="79">
        <f>'GF-E CAP'!AC13</f>
        <v>0</v>
      </c>
      <c r="AD30" s="62"/>
      <c r="AE30" s="63" t="str">
        <f>'GF-E CAP'!AE13</f>
        <v>N/A</v>
      </c>
    </row>
    <row r="31" spans="1:31" ht="12.75" customHeight="1" x14ac:dyDescent="0.2">
      <c r="Z31" s="57"/>
      <c r="AA31" s="58"/>
      <c r="AB31" s="57"/>
      <c r="AD31" s="57"/>
    </row>
    <row r="32" spans="1:31" ht="12.75" customHeight="1" thickBot="1" x14ac:dyDescent="0.25">
      <c r="A32" s="67" t="s">
        <v>933</v>
      </c>
      <c r="C32" s="83">
        <f>SUM(C21:C30)</f>
        <v>9809842.1199999992</v>
      </c>
      <c r="E32" s="83">
        <f>SUM(E21:E30)</f>
        <v>9738829.3999999985</v>
      </c>
      <c r="G32" s="83">
        <f>SUM(G21:G30)</f>
        <v>10545553.92</v>
      </c>
      <c r="I32" s="83">
        <f>SUM(I21:I30)</f>
        <v>12035100</v>
      </c>
      <c r="K32" s="83">
        <f>SUM(K21:K30)</f>
        <v>13471200</v>
      </c>
      <c r="M32" s="82">
        <f>SUM(M21:M30)</f>
        <v>12759864.140000001</v>
      </c>
      <c r="O32" s="82">
        <f>SUM(O21:O30)</f>
        <v>0</v>
      </c>
      <c r="Q32" s="83">
        <f>SUM(Q21:Q30)</f>
        <v>12759864.140000001</v>
      </c>
      <c r="S32" s="82">
        <f>SUM(S21:S30)</f>
        <v>12165000</v>
      </c>
      <c r="U32" s="82">
        <f>SUM(U21:U30)</f>
        <v>12456410</v>
      </c>
      <c r="W32" s="83">
        <f>SUM(W21:W30)</f>
        <v>13804836</v>
      </c>
      <c r="Y32" s="82">
        <f>SUM(Y21:Y30)</f>
        <v>1769736</v>
      </c>
      <c r="Z32" s="57"/>
      <c r="AA32" s="125">
        <f>IF(W32=0,"N/A",PRODUCT(Y32,1/I32))</f>
        <v>0.14704788493656057</v>
      </c>
      <c r="AB32" s="57"/>
      <c r="AC32" s="82">
        <f>SUM(AC21:AC30)</f>
        <v>1044971.8600000002</v>
      </c>
      <c r="AD32" s="57"/>
      <c r="AE32" s="125">
        <f>IF(W32=0,"N/A",PRODUCT(AC32,1/Q32))</f>
        <v>8.1895218360843791E-2</v>
      </c>
    </row>
    <row r="33" spans="1:30" ht="12.75" customHeight="1" thickTop="1" x14ac:dyDescent="0.2">
      <c r="Z33" s="57"/>
      <c r="AB33" s="57"/>
      <c r="AD33" s="57"/>
    </row>
    <row r="34" spans="1:30" ht="12.75" customHeight="1" x14ac:dyDescent="0.2">
      <c r="Z34" s="57"/>
      <c r="AB34" s="57"/>
      <c r="AD34" s="57"/>
    </row>
    <row r="35" spans="1:30" ht="12.75" customHeight="1" x14ac:dyDescent="0.2">
      <c r="Z35" s="57"/>
      <c r="AB35" s="57"/>
      <c r="AD35" s="57"/>
    </row>
    <row r="36" spans="1:30" ht="12.75" customHeight="1" x14ac:dyDescent="0.2">
      <c r="A36" s="67" t="s">
        <v>786</v>
      </c>
      <c r="C36" s="88">
        <f>SUM(C16,-C32)</f>
        <v>-219238.25</v>
      </c>
      <c r="E36" s="88">
        <f>SUM(E16,-E32)</f>
        <v>821548.62000000104</v>
      </c>
      <c r="G36" s="88">
        <f>SUM(G16,-G32)</f>
        <v>2032155.6500000022</v>
      </c>
      <c r="I36" s="88">
        <f>SUM(I16,-I32)</f>
        <v>551300</v>
      </c>
      <c r="K36" s="88">
        <f>SUM(K16,-K32)</f>
        <v>0</v>
      </c>
      <c r="M36" s="88">
        <f>SUM(M16,-M32)</f>
        <v>861043.76000000164</v>
      </c>
      <c r="O36" s="88">
        <f>SUM(O16,-O32)</f>
        <v>0</v>
      </c>
      <c r="Q36" s="88">
        <f>SUM(Q16,-Q32)</f>
        <v>861043.76000000164</v>
      </c>
      <c r="S36" s="88">
        <f>SUM(S16,-S32)</f>
        <v>1382050</v>
      </c>
      <c r="U36" s="88">
        <f>SUM(U16,-U32)</f>
        <v>993140</v>
      </c>
      <c r="W36" s="88">
        <f>SUM(W16,-W32)</f>
        <v>0</v>
      </c>
      <c r="Y36" s="88">
        <f>SUM(Y16,-Y32)</f>
        <v>-551300</v>
      </c>
      <c r="Z36" s="57"/>
      <c r="AB36" s="57"/>
      <c r="AC36" s="88">
        <f>SUM(AC16,-AC32)</f>
        <v>-861043.76000000036</v>
      </c>
      <c r="AD36" s="57"/>
    </row>
    <row r="37" spans="1:30" ht="12.75" customHeight="1" x14ac:dyDescent="0.2">
      <c r="Z37" s="57"/>
      <c r="AB37" s="57"/>
      <c r="AD37" s="57"/>
    </row>
    <row r="38" spans="1:30" ht="12.75" customHeight="1" x14ac:dyDescent="0.2">
      <c r="A38" s="70" t="s">
        <v>787</v>
      </c>
      <c r="C38" s="77">
        <v>3886680.55</v>
      </c>
      <c r="E38" s="77">
        <f>C42</f>
        <v>3667442.3</v>
      </c>
      <c r="G38" s="77">
        <f>E42</f>
        <v>4488990.9200000009</v>
      </c>
      <c r="I38" s="77">
        <f>G42</f>
        <v>6521146.5700000031</v>
      </c>
      <c r="K38" s="77">
        <f>G42</f>
        <v>6521146.5700000031</v>
      </c>
      <c r="Q38" s="77">
        <f>G42</f>
        <v>6521146.5700000031</v>
      </c>
      <c r="W38" s="77">
        <f>Q42</f>
        <v>7382190.3300000047</v>
      </c>
      <c r="Z38" s="57"/>
      <c r="AB38" s="57"/>
      <c r="AD38" s="57"/>
    </row>
    <row r="39" spans="1:30" ht="12.75" customHeight="1" x14ac:dyDescent="0.2">
      <c r="Z39" s="57"/>
      <c r="AB39" s="57"/>
      <c r="AD39" s="57"/>
    </row>
    <row r="40" spans="1:30" ht="12.75" customHeight="1" x14ac:dyDescent="0.2">
      <c r="A40" s="70" t="s">
        <v>788</v>
      </c>
      <c r="C40" s="77">
        <v>0</v>
      </c>
      <c r="E40" s="77">
        <v>0</v>
      </c>
      <c r="G40" s="77">
        <v>0</v>
      </c>
      <c r="I40" s="77">
        <v>0</v>
      </c>
      <c r="K40" s="77">
        <v>0</v>
      </c>
      <c r="Q40" s="77">
        <v>0</v>
      </c>
      <c r="W40" s="77">
        <f>'GF-XFER TO'!W7</f>
        <v>862686</v>
      </c>
      <c r="Z40" s="57"/>
      <c r="AB40" s="57"/>
      <c r="AD40" s="57"/>
    </row>
    <row r="41" spans="1:30" ht="12.75" customHeight="1" x14ac:dyDescent="0.2">
      <c r="Z41" s="57"/>
      <c r="AB41" s="57"/>
      <c r="AD41" s="57"/>
    </row>
    <row r="42" spans="1:30" ht="12.75" customHeight="1" thickBot="1" x14ac:dyDescent="0.25">
      <c r="A42" s="67" t="s">
        <v>789</v>
      </c>
      <c r="C42" s="83">
        <f>SUM(C38,C36,C40)</f>
        <v>3667442.3</v>
      </c>
      <c r="E42" s="83">
        <f>SUM(E38,E36,E40)</f>
        <v>4488990.9200000009</v>
      </c>
      <c r="G42" s="83">
        <f>SUM(G38,G36,G40)</f>
        <v>6521146.5700000031</v>
      </c>
      <c r="I42" s="83">
        <f>SUM(I38,I36,I40)</f>
        <v>7072446.5700000031</v>
      </c>
      <c r="K42" s="83">
        <f>SUM(K38,K36,K40)</f>
        <v>6521146.5700000031</v>
      </c>
      <c r="Q42" s="83">
        <f>SUM(Q38,Q36,Q40)</f>
        <v>7382190.3300000047</v>
      </c>
      <c r="W42" s="83">
        <f>SUM(W38,W36,W40)</f>
        <v>8244876.3300000047</v>
      </c>
      <c r="Z42" s="57"/>
      <c r="AB42" s="57"/>
      <c r="AD42" s="57"/>
    </row>
    <row r="43" spans="1:30" ht="12.75" customHeight="1" thickTop="1" x14ac:dyDescent="0.2">
      <c r="Z43" s="57"/>
      <c r="AB43" s="57"/>
      <c r="AD43" s="57"/>
    </row>
    <row r="44" spans="1:30" ht="12.75" customHeight="1" x14ac:dyDescent="0.2">
      <c r="A44" s="70" t="s">
        <v>1449</v>
      </c>
      <c r="C44" s="77">
        <v>2500000</v>
      </c>
      <c r="E44" s="77">
        <v>2500000</v>
      </c>
      <c r="G44" s="77">
        <v>2636388</v>
      </c>
      <c r="I44" s="77">
        <v>3008775</v>
      </c>
      <c r="K44" s="77">
        <v>3367800</v>
      </c>
      <c r="Q44" s="77">
        <v>3167104</v>
      </c>
      <c r="W44" s="77">
        <v>3451209</v>
      </c>
      <c r="Z44" s="57"/>
      <c r="AB44" s="57"/>
      <c r="AD44" s="57"/>
    </row>
    <row r="45" spans="1:30" ht="12.75" customHeight="1" x14ac:dyDescent="0.2">
      <c r="A45" s="70" t="s">
        <v>1450</v>
      </c>
      <c r="C45" s="77">
        <v>42008</v>
      </c>
      <c r="E45" s="77">
        <v>64829</v>
      </c>
      <c r="G45" s="77">
        <v>48247</v>
      </c>
      <c r="I45" s="77">
        <v>7527</v>
      </c>
      <c r="K45" s="77">
        <v>5000</v>
      </c>
      <c r="Q45" s="77">
        <v>5000</v>
      </c>
      <c r="W45" s="77">
        <v>0</v>
      </c>
      <c r="Z45" s="57"/>
      <c r="AB45" s="57"/>
      <c r="AD45" s="57"/>
    </row>
    <row r="46" spans="1:30" ht="12.75" customHeight="1" x14ac:dyDescent="0.2">
      <c r="A46" s="70" t="s">
        <v>1451</v>
      </c>
      <c r="C46" s="77">
        <v>35372</v>
      </c>
      <c r="E46" s="77">
        <v>35372</v>
      </c>
      <c r="G46" s="77">
        <v>35372</v>
      </c>
      <c r="I46" s="77">
        <v>35372</v>
      </c>
      <c r="K46" s="77">
        <v>35372</v>
      </c>
      <c r="Q46" s="77">
        <v>35372</v>
      </c>
      <c r="W46" s="77">
        <v>35372</v>
      </c>
      <c r="Z46" s="57"/>
      <c r="AB46" s="57"/>
      <c r="AD46" s="57"/>
    </row>
    <row r="47" spans="1:30" ht="12.75" customHeight="1" x14ac:dyDescent="0.2">
      <c r="A47" s="70" t="s">
        <v>1452</v>
      </c>
      <c r="C47" s="77">
        <v>0</v>
      </c>
      <c r="E47" s="77">
        <v>0</v>
      </c>
      <c r="G47" s="77">
        <v>500000</v>
      </c>
      <c r="I47" s="77">
        <v>3900000</v>
      </c>
      <c r="K47" s="77">
        <v>3112975</v>
      </c>
      <c r="Q47" s="77">
        <v>3900000</v>
      </c>
      <c r="W47" s="77">
        <v>3900000</v>
      </c>
      <c r="Z47" s="57"/>
      <c r="AB47" s="57"/>
      <c r="AD47" s="57"/>
    </row>
    <row r="48" spans="1:30" x14ac:dyDescent="0.2">
      <c r="A48" s="70" t="s">
        <v>1453</v>
      </c>
      <c r="C48" s="77">
        <v>1090062</v>
      </c>
      <c r="E48" s="77">
        <v>1888790</v>
      </c>
      <c r="G48" s="77">
        <v>3301140</v>
      </c>
      <c r="I48" s="77">
        <v>120773</v>
      </c>
      <c r="K48" s="77">
        <v>0</v>
      </c>
      <c r="Q48" s="77">
        <v>792853</v>
      </c>
      <c r="W48" s="77">
        <v>941472</v>
      </c>
      <c r="Z48" s="57"/>
      <c r="AB48" s="57"/>
      <c r="AD48" s="57"/>
    </row>
    <row r="49" spans="26:30" x14ac:dyDescent="0.2">
      <c r="Z49" s="57"/>
      <c r="AB49" s="57"/>
      <c r="AD49" s="57"/>
    </row>
    <row r="50" spans="26:30" x14ac:dyDescent="0.2">
      <c r="Z50" s="57"/>
      <c r="AB50" s="57"/>
      <c r="AD50" s="57"/>
    </row>
    <row r="51" spans="26:30" x14ac:dyDescent="0.2">
      <c r="Z51" s="57"/>
      <c r="AB51" s="57"/>
      <c r="AD51" s="57"/>
    </row>
    <row r="52" spans="26:30" x14ac:dyDescent="0.2">
      <c r="Z52" s="57"/>
      <c r="AB52" s="57"/>
      <c r="AD52" s="57"/>
    </row>
    <row r="53" spans="26:30" x14ac:dyDescent="0.2">
      <c r="Z53" s="57"/>
      <c r="AB53" s="57"/>
      <c r="AD53" s="57"/>
    </row>
    <row r="54" spans="26:30" x14ac:dyDescent="0.2">
      <c r="Z54" s="57"/>
      <c r="AB54" s="57"/>
      <c r="AD54" s="57"/>
    </row>
    <row r="55" spans="26:30" x14ac:dyDescent="0.2">
      <c r="Z55" s="57"/>
      <c r="AB55" s="57"/>
      <c r="AD55" s="57"/>
    </row>
    <row r="56" spans="26:30" x14ac:dyDescent="0.2">
      <c r="Z56" s="57"/>
      <c r="AB56" s="57"/>
      <c r="AD56" s="57"/>
    </row>
    <row r="57" spans="26:30" x14ac:dyDescent="0.2">
      <c r="Z57" s="57"/>
      <c r="AB57" s="57"/>
      <c r="AD57" s="57"/>
    </row>
    <row r="58" spans="26:30" x14ac:dyDescent="0.2">
      <c r="Z58" s="57"/>
      <c r="AB58" s="57"/>
      <c r="AD58" s="57"/>
    </row>
    <row r="59" spans="26:30" x14ac:dyDescent="0.2">
      <c r="Z59" s="57"/>
      <c r="AB59" s="57"/>
      <c r="AD59" s="57"/>
    </row>
    <row r="60" spans="26:30" x14ac:dyDescent="0.2">
      <c r="Z60" s="57"/>
      <c r="AB60" s="57"/>
      <c r="AD60" s="57"/>
    </row>
    <row r="61" spans="26:30" x14ac:dyDescent="0.2">
      <c r="Z61" s="57"/>
      <c r="AB61" s="57"/>
      <c r="AD61" s="57"/>
    </row>
    <row r="62" spans="26:30" x14ac:dyDescent="0.2">
      <c r="Z62" s="57"/>
      <c r="AB62" s="57"/>
      <c r="AD62" s="57"/>
    </row>
    <row r="63" spans="26:30" x14ac:dyDescent="0.2">
      <c r="Z63" s="57"/>
      <c r="AB63" s="57"/>
      <c r="AD63" s="57"/>
    </row>
    <row r="64" spans="26:30" x14ac:dyDescent="0.2">
      <c r="Z64" s="57"/>
      <c r="AB64" s="57"/>
      <c r="AD64" s="57"/>
    </row>
    <row r="65" spans="26:30" x14ac:dyDescent="0.2">
      <c r="Z65" s="57"/>
      <c r="AB65" s="57"/>
      <c r="AD65" s="57"/>
    </row>
    <row r="66" spans="26:30" x14ac:dyDescent="0.2">
      <c r="Z66" s="57"/>
      <c r="AB66" s="57"/>
      <c r="AD66" s="57"/>
    </row>
    <row r="67" spans="26:30" x14ac:dyDescent="0.2">
      <c r="Z67" s="57"/>
      <c r="AB67" s="57"/>
      <c r="AD67" s="57"/>
    </row>
    <row r="68" spans="26:30" x14ac:dyDescent="0.2">
      <c r="Z68" s="57"/>
      <c r="AB68" s="57"/>
      <c r="AD68" s="57"/>
    </row>
    <row r="69" spans="26:30" x14ac:dyDescent="0.2">
      <c r="Z69" s="57"/>
      <c r="AB69" s="57"/>
      <c r="AD69" s="57"/>
    </row>
    <row r="70" spans="26:30" x14ac:dyDescent="0.2">
      <c r="Z70" s="57"/>
      <c r="AB70" s="57"/>
      <c r="AD70" s="57"/>
    </row>
    <row r="71" spans="26:30" x14ac:dyDescent="0.2">
      <c r="Z71" s="57"/>
      <c r="AB71" s="57"/>
      <c r="AD71" s="57"/>
    </row>
    <row r="72" spans="26:30" x14ac:dyDescent="0.2">
      <c r="Z72" s="57"/>
      <c r="AB72" s="57"/>
      <c r="AD72" s="57"/>
    </row>
    <row r="73" spans="26:30" x14ac:dyDescent="0.2">
      <c r="Z73" s="57"/>
      <c r="AB73" s="57"/>
      <c r="AD73" s="57"/>
    </row>
    <row r="74" spans="26:30" x14ac:dyDescent="0.2">
      <c r="Z74" s="57"/>
      <c r="AB74" s="57"/>
      <c r="AD74" s="57"/>
    </row>
    <row r="75" spans="26:30" x14ac:dyDescent="0.2">
      <c r="Z75" s="57"/>
      <c r="AB75" s="57"/>
      <c r="AD75" s="57"/>
    </row>
    <row r="76" spans="26:30" x14ac:dyDescent="0.2">
      <c r="Z76" s="57"/>
      <c r="AB76" s="57"/>
      <c r="AD76" s="57"/>
    </row>
    <row r="77" spans="26:30" x14ac:dyDescent="0.2">
      <c r="Z77" s="57"/>
      <c r="AB77" s="57"/>
      <c r="AD77" s="57"/>
    </row>
    <row r="78" spans="26:30" x14ac:dyDescent="0.2">
      <c r="Z78" s="57"/>
      <c r="AB78" s="57"/>
      <c r="AD78" s="57"/>
    </row>
    <row r="79" spans="26:30" x14ac:dyDescent="0.2">
      <c r="Z79" s="57"/>
      <c r="AB79" s="57"/>
      <c r="AD79" s="57"/>
    </row>
    <row r="80" spans="26:30" x14ac:dyDescent="0.2">
      <c r="Z80" s="57"/>
      <c r="AB80" s="57"/>
      <c r="AD80" s="57"/>
    </row>
    <row r="81" spans="26:30" x14ac:dyDescent="0.2">
      <c r="Z81" s="57"/>
      <c r="AB81" s="57"/>
      <c r="AD81" s="57"/>
    </row>
    <row r="82" spans="26:30" x14ac:dyDescent="0.2">
      <c r="Z82" s="57"/>
      <c r="AB82" s="57"/>
      <c r="AD82" s="57"/>
    </row>
    <row r="83" spans="26:30" x14ac:dyDescent="0.2">
      <c r="Z83" s="57"/>
      <c r="AB83" s="57"/>
      <c r="AD83" s="57"/>
    </row>
    <row r="84" spans="26:30" x14ac:dyDescent="0.2">
      <c r="Z84" s="57"/>
      <c r="AB84" s="57"/>
      <c r="AD84" s="57"/>
    </row>
    <row r="85" spans="26:30" x14ac:dyDescent="0.2">
      <c r="Z85" s="57"/>
      <c r="AB85" s="57"/>
      <c r="AD85" s="57"/>
    </row>
  </sheetData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FD277-2171-4CD8-A4C6-E15773229E2A}">
  <sheetPr>
    <tabColor rgb="FF92D050"/>
  </sheetPr>
  <dimension ref="A1:AJ111"/>
  <sheetViews>
    <sheetView showGridLines="0" workbookViewId="0">
      <pane xSplit="2" ySplit="3" topLeftCell="L4" activePane="bottomRight" state="frozen"/>
      <selection activeCell="AG19" sqref="AG19"/>
      <selection pane="topRight" activeCell="AG19" sqref="AG19"/>
      <selection pane="bottomLeft" activeCell="AG19" sqref="AG19"/>
      <selection pane="bottomRight" activeCell="AG19" sqref="AG19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110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9" t="s">
        <v>112</v>
      </c>
      <c r="B6" s="60" t="s">
        <v>219</v>
      </c>
      <c r="C6" s="79">
        <v>263913.06</v>
      </c>
      <c r="D6" s="80"/>
      <c r="E6" s="79">
        <v>269990.59000000003</v>
      </c>
      <c r="F6" s="80"/>
      <c r="G6" s="79">
        <v>308350.83</v>
      </c>
      <c r="H6" s="79"/>
      <c r="I6" s="79">
        <v>376950</v>
      </c>
      <c r="J6" s="79"/>
      <c r="K6" s="79">
        <v>376950</v>
      </c>
      <c r="L6" s="79"/>
      <c r="M6" s="79">
        <v>378869.88</v>
      </c>
      <c r="N6" s="79"/>
      <c r="O6" s="79">
        <f>PRODUCT(M6,0/12)</f>
        <v>0</v>
      </c>
      <c r="P6" s="79"/>
      <c r="Q6" s="79">
        <f t="shared" ref="Q6:Q12" si="0">SUM(M6,O6)</f>
        <v>378869.88</v>
      </c>
      <c r="R6" s="79"/>
      <c r="S6" s="79">
        <v>380000</v>
      </c>
      <c r="T6" s="79"/>
      <c r="U6" s="79">
        <v>415000</v>
      </c>
      <c r="V6" s="79"/>
      <c r="W6" s="79">
        <v>380000</v>
      </c>
      <c r="X6" s="79"/>
      <c r="Y6" s="79">
        <f t="shared" ref="Y6:Y12" si="1">SUM(W6,-I6)</f>
        <v>3050</v>
      </c>
      <c r="Z6" s="62"/>
      <c r="AA6" s="63">
        <f>IF(W6=0,"N/A",PRODUCT(Y6,1/I6))</f>
        <v>8.0912587876376171E-3</v>
      </c>
      <c r="AB6" s="62"/>
      <c r="AC6" s="79">
        <f>SUM(W6,-Q6)</f>
        <v>1130.1199999999953</v>
      </c>
      <c r="AD6" s="62"/>
      <c r="AE6" s="63">
        <f>IF(W6=0,"N/A",PRODUCT(AC6,1/Q6))</f>
        <v>2.9828710585280498E-3</v>
      </c>
      <c r="AF6" s="57"/>
      <c r="AG6" s="57" t="s">
        <v>1034</v>
      </c>
      <c r="AH6" s="57"/>
      <c r="AI6" s="57"/>
      <c r="AJ6" s="57"/>
    </row>
    <row r="7" spans="1:36" x14ac:dyDescent="0.2">
      <c r="A7" s="55" t="s">
        <v>113</v>
      </c>
      <c r="B7" s="56" t="s">
        <v>220</v>
      </c>
      <c r="C7" s="77">
        <v>42323.97</v>
      </c>
      <c r="E7" s="77">
        <v>72173.7</v>
      </c>
      <c r="G7" s="77">
        <v>73030.539999999994</v>
      </c>
      <c r="I7" s="77">
        <v>55000</v>
      </c>
      <c r="K7" s="77">
        <v>55000</v>
      </c>
      <c r="M7" s="77">
        <v>83725.45</v>
      </c>
      <c r="O7" s="77">
        <f>PRODUCT(M7,0/12)</f>
        <v>0</v>
      </c>
      <c r="Q7" s="77">
        <f t="shared" si="0"/>
        <v>83725.45</v>
      </c>
      <c r="S7" s="77">
        <v>70000</v>
      </c>
      <c r="U7" s="77">
        <v>80000</v>
      </c>
      <c r="W7" s="77">
        <v>70000</v>
      </c>
      <c r="Y7" s="77">
        <f t="shared" si="1"/>
        <v>15000</v>
      </c>
      <c r="Z7" s="57"/>
      <c r="AA7" s="58">
        <f t="shared" ref="AA7:AA13" si="2">IF(W7=0,"N/A",PRODUCT(Y7,1/I7))</f>
        <v>0.27272727272727271</v>
      </c>
      <c r="AB7" s="57"/>
      <c r="AC7" s="77">
        <f t="shared" ref="AC7:AC12" si="3">SUM(W7,-Q7)</f>
        <v>-13725.449999999997</v>
      </c>
      <c r="AD7" s="57"/>
      <c r="AE7" s="58">
        <f t="shared" ref="AE7:AE13" si="4">IF(W7=0,"N/A",PRODUCT(AC7,1/Q7))</f>
        <v>-0.1639340248395201</v>
      </c>
      <c r="AF7" s="57"/>
      <c r="AG7" s="57"/>
      <c r="AH7" s="57"/>
      <c r="AI7" s="57"/>
      <c r="AJ7" s="57"/>
    </row>
    <row r="8" spans="1:36" x14ac:dyDescent="0.2">
      <c r="A8" s="59" t="s">
        <v>114</v>
      </c>
      <c r="B8" s="60" t="s">
        <v>286</v>
      </c>
      <c r="C8" s="79">
        <v>21433.21</v>
      </c>
      <c r="D8" s="80"/>
      <c r="E8" s="79">
        <v>25551.8</v>
      </c>
      <c r="F8" s="80"/>
      <c r="G8" s="79">
        <v>27554.69</v>
      </c>
      <c r="H8" s="79"/>
      <c r="I8" s="79">
        <v>33050</v>
      </c>
      <c r="J8" s="79"/>
      <c r="K8" s="79">
        <v>33050</v>
      </c>
      <c r="L8" s="79"/>
      <c r="M8" s="79">
        <v>33059.019999999997</v>
      </c>
      <c r="N8" s="79"/>
      <c r="O8" s="79">
        <f>PRODUCT(M8,0/12)</f>
        <v>0</v>
      </c>
      <c r="P8" s="79"/>
      <c r="Q8" s="79">
        <f t="shared" si="0"/>
        <v>33059.019999999997</v>
      </c>
      <c r="R8" s="79"/>
      <c r="S8" s="79">
        <v>35000</v>
      </c>
      <c r="T8" s="79"/>
      <c r="U8" s="79">
        <v>37500</v>
      </c>
      <c r="V8" s="79"/>
      <c r="W8" s="79">
        <v>35000</v>
      </c>
      <c r="X8" s="79"/>
      <c r="Y8" s="79">
        <f t="shared" si="1"/>
        <v>1950</v>
      </c>
      <c r="Z8" s="62"/>
      <c r="AA8" s="63">
        <f t="shared" si="2"/>
        <v>5.9001512859304085E-2</v>
      </c>
      <c r="AB8" s="62"/>
      <c r="AC8" s="79">
        <f t="shared" si="3"/>
        <v>1940.9800000000032</v>
      </c>
      <c r="AD8" s="62"/>
      <c r="AE8" s="63">
        <f t="shared" si="4"/>
        <v>5.8712569217115429E-2</v>
      </c>
      <c r="AF8" s="57"/>
      <c r="AG8" s="57"/>
      <c r="AH8" s="57"/>
      <c r="AI8" s="57"/>
      <c r="AJ8" s="57"/>
    </row>
    <row r="9" spans="1:36" x14ac:dyDescent="0.2">
      <c r="A9" s="55" t="s">
        <v>115</v>
      </c>
      <c r="B9" s="56" t="s">
        <v>221</v>
      </c>
      <c r="C9" s="77">
        <v>77815.31</v>
      </c>
      <c r="E9" s="77">
        <v>81427.28</v>
      </c>
      <c r="G9" s="77">
        <v>91213.759999999995</v>
      </c>
      <c r="I9" s="77">
        <v>78000</v>
      </c>
      <c r="K9" s="77">
        <v>78000</v>
      </c>
      <c r="M9" s="77">
        <v>101945.37</v>
      </c>
      <c r="O9" s="77">
        <f>PRODUCT(M9,0/12)</f>
        <v>0</v>
      </c>
      <c r="Q9" s="77">
        <f t="shared" si="0"/>
        <v>101945.37</v>
      </c>
      <c r="S9" s="77">
        <v>120000</v>
      </c>
      <c r="U9" s="77">
        <v>125000</v>
      </c>
      <c r="W9" s="77">
        <v>120000</v>
      </c>
      <c r="Y9" s="77">
        <f t="shared" si="1"/>
        <v>42000</v>
      </c>
      <c r="Z9" s="57"/>
      <c r="AA9" s="58">
        <f t="shared" si="2"/>
        <v>0.53846153846153844</v>
      </c>
      <c r="AB9" s="57"/>
      <c r="AC9" s="77">
        <f t="shared" si="3"/>
        <v>18054.630000000005</v>
      </c>
      <c r="AD9" s="57"/>
      <c r="AE9" s="58">
        <f t="shared" si="4"/>
        <v>0.17710102969855329</v>
      </c>
      <c r="AF9" s="57"/>
      <c r="AG9" s="57" t="s">
        <v>1445</v>
      </c>
      <c r="AH9" s="57"/>
      <c r="AI9" s="57"/>
      <c r="AJ9" s="57"/>
    </row>
    <row r="10" spans="1:36" x14ac:dyDescent="0.2">
      <c r="A10" s="59" t="s">
        <v>116</v>
      </c>
      <c r="B10" s="60" t="s">
        <v>400</v>
      </c>
      <c r="C10" s="79">
        <v>13639.52</v>
      </c>
      <c r="D10" s="80"/>
      <c r="E10" s="79">
        <v>15475.69</v>
      </c>
      <c r="F10" s="80"/>
      <c r="G10" s="79">
        <v>16275.98</v>
      </c>
      <c r="H10" s="79"/>
      <c r="I10" s="79">
        <v>9700</v>
      </c>
      <c r="J10" s="79"/>
      <c r="K10" s="79">
        <v>9700</v>
      </c>
      <c r="L10" s="79"/>
      <c r="M10" s="79">
        <v>3679.4</v>
      </c>
      <c r="N10" s="79"/>
      <c r="O10" s="79">
        <v>0</v>
      </c>
      <c r="P10" s="79"/>
      <c r="Q10" s="79">
        <f t="shared" si="0"/>
        <v>3679.4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-9700</v>
      </c>
      <c r="Z10" s="62"/>
      <c r="AA10" s="63" t="str">
        <f t="shared" si="2"/>
        <v>N/A</v>
      </c>
      <c r="AB10" s="62"/>
      <c r="AC10" s="79">
        <f t="shared" si="3"/>
        <v>-3679.4</v>
      </c>
      <c r="AD10" s="62"/>
      <c r="AE10" s="63" t="str">
        <f t="shared" si="4"/>
        <v>N/A</v>
      </c>
      <c r="AF10" s="57"/>
      <c r="AG10" s="57"/>
      <c r="AH10" s="57"/>
      <c r="AI10" s="57"/>
      <c r="AJ10" s="57"/>
    </row>
    <row r="11" spans="1:36" x14ac:dyDescent="0.2">
      <c r="A11" s="55" t="s">
        <v>117</v>
      </c>
      <c r="B11" s="56" t="s">
        <v>401</v>
      </c>
      <c r="C11" s="77">
        <v>8259.23</v>
      </c>
      <c r="E11" s="77">
        <v>9248.7000000000007</v>
      </c>
      <c r="G11" s="77">
        <v>10068.18</v>
      </c>
      <c r="I11" s="77">
        <v>6800</v>
      </c>
      <c r="K11" s="77">
        <v>6800</v>
      </c>
      <c r="M11" s="77">
        <v>2046.32</v>
      </c>
      <c r="O11" s="77">
        <v>0</v>
      </c>
      <c r="Q11" s="77">
        <f t="shared" si="0"/>
        <v>2046.32</v>
      </c>
      <c r="S11" s="77">
        <v>0</v>
      </c>
      <c r="U11" s="77">
        <v>0</v>
      </c>
      <c r="W11" s="77">
        <v>0</v>
      </c>
      <c r="Y11" s="77">
        <f t="shared" si="1"/>
        <v>-6800</v>
      </c>
      <c r="Z11" s="57"/>
      <c r="AA11" s="58" t="str">
        <f t="shared" si="2"/>
        <v>N/A</v>
      </c>
      <c r="AB11" s="57"/>
      <c r="AC11" s="77">
        <f t="shared" si="3"/>
        <v>-2046.32</v>
      </c>
      <c r="AD11" s="57"/>
      <c r="AE11" s="58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A12" s="59" t="s">
        <v>118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27350</v>
      </c>
      <c r="J12" s="79"/>
      <c r="K12" s="79">
        <v>27350</v>
      </c>
      <c r="L12" s="79"/>
      <c r="M12" s="79">
        <v>30226.66</v>
      </c>
      <c r="N12" s="79"/>
      <c r="O12" s="79">
        <f>PRODUCT(M12,0/9)</f>
        <v>0</v>
      </c>
      <c r="P12" s="79"/>
      <c r="Q12" s="79">
        <f t="shared" si="0"/>
        <v>30226.66</v>
      </c>
      <c r="R12" s="79"/>
      <c r="S12" s="79">
        <v>42000</v>
      </c>
      <c r="T12" s="79"/>
      <c r="U12" s="79">
        <v>45000</v>
      </c>
      <c r="V12" s="79"/>
      <c r="W12" s="79">
        <v>42000</v>
      </c>
      <c r="X12" s="79"/>
      <c r="Y12" s="79">
        <f t="shared" si="1"/>
        <v>14650</v>
      </c>
      <c r="Z12" s="62"/>
      <c r="AA12" s="63">
        <f t="shared" si="2"/>
        <v>0.53564899451553938</v>
      </c>
      <c r="AB12" s="62"/>
      <c r="AC12" s="79">
        <f t="shared" si="3"/>
        <v>11773.34</v>
      </c>
      <c r="AD12" s="62"/>
      <c r="AE12" s="63">
        <f t="shared" si="4"/>
        <v>0.38950185035329743</v>
      </c>
      <c r="AF12" s="57"/>
      <c r="AG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427384.30000000005</v>
      </c>
      <c r="E13" s="81">
        <f>SUM(E6:E12)</f>
        <v>473867.76</v>
      </c>
      <c r="G13" s="81">
        <f>SUM(G6:G12)</f>
        <v>526493.98</v>
      </c>
      <c r="I13" s="81">
        <f>SUM(I6:I12)</f>
        <v>586850</v>
      </c>
      <c r="K13" s="81">
        <f>SUM(K6:K12)</f>
        <v>586850</v>
      </c>
      <c r="M13" s="81">
        <f>SUM(M6:M12)</f>
        <v>633552.1</v>
      </c>
      <c r="O13" s="81">
        <f>SUM(O6:O12)</f>
        <v>0</v>
      </c>
      <c r="Q13" s="81">
        <f>SUM(Q6:Q12)</f>
        <v>633552.1</v>
      </c>
      <c r="S13" s="81">
        <f>SUM(S6:S12)</f>
        <v>647000</v>
      </c>
      <c r="U13" s="81">
        <f>SUM(U6:U12)</f>
        <v>702500</v>
      </c>
      <c r="W13" s="81">
        <f>SUM(W6:W12)</f>
        <v>647000</v>
      </c>
      <c r="Y13" s="81">
        <f>SUM(Y6:Y12)</f>
        <v>60150</v>
      </c>
      <c r="Z13" s="57"/>
      <c r="AA13" s="65">
        <f t="shared" si="2"/>
        <v>0.10249637897248019</v>
      </c>
      <c r="AB13" s="57"/>
      <c r="AC13" s="81">
        <f>SUM(AC6:AC12)</f>
        <v>13447.900000000007</v>
      </c>
      <c r="AD13" s="57"/>
      <c r="AE13" s="65">
        <f t="shared" si="4"/>
        <v>2.1226194341396717E-2</v>
      </c>
      <c r="AF13" s="57"/>
      <c r="AG13" s="57"/>
      <c r="AH13" s="57"/>
      <c r="AI13" s="57"/>
      <c r="AJ13" s="57"/>
    </row>
    <row r="14" spans="1:36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A16" s="55" t="s">
        <v>119</v>
      </c>
      <c r="B16" s="56" t="s">
        <v>308</v>
      </c>
      <c r="C16" s="77">
        <v>15467.14</v>
      </c>
      <c r="E16" s="77">
        <v>16247.92</v>
      </c>
      <c r="G16" s="77">
        <v>16945.87</v>
      </c>
      <c r="I16" s="77">
        <v>20000</v>
      </c>
      <c r="K16" s="77">
        <v>20000</v>
      </c>
      <c r="M16" s="77">
        <v>10875.01</v>
      </c>
      <c r="O16" s="77">
        <f t="shared" ref="O16:O21" si="5">PRODUCT(M16,0/12)</f>
        <v>0</v>
      </c>
      <c r="Q16" s="77">
        <f t="shared" ref="Q16:Q21" si="6">SUM(M16,O16)</f>
        <v>10875.01</v>
      </c>
      <c r="S16" s="77">
        <v>20000</v>
      </c>
      <c r="U16" s="77">
        <v>22000</v>
      </c>
      <c r="W16" s="77">
        <v>22000</v>
      </c>
      <c r="Y16" s="77">
        <f t="shared" ref="Y16:Y21" si="7">SUM(W16,-I16)</f>
        <v>2000</v>
      </c>
      <c r="Z16" s="57"/>
      <c r="AA16" s="58">
        <f t="shared" ref="AA16:AA22" si="8">IF(W16=0,"N/A",PRODUCT(Y16,1/I16))</f>
        <v>0.1</v>
      </c>
      <c r="AB16" s="57"/>
      <c r="AC16" s="77">
        <f t="shared" ref="AC16:AC21" si="9">SUM(W16,-Q16)</f>
        <v>11124.99</v>
      </c>
      <c r="AD16" s="57"/>
      <c r="AE16" s="58">
        <f t="shared" ref="AE16:AE22" si="10">IF(W16=0,"N/A",PRODUCT(AC16,1/Q16))</f>
        <v>1.0229866455295213</v>
      </c>
      <c r="AF16" s="57"/>
      <c r="AG16" s="57"/>
      <c r="AH16" s="57"/>
      <c r="AI16" s="57"/>
      <c r="AJ16" s="57"/>
    </row>
    <row r="17" spans="1:36" x14ac:dyDescent="0.2">
      <c r="A17" s="59" t="s">
        <v>120</v>
      </c>
      <c r="B17" s="60" t="s">
        <v>223</v>
      </c>
      <c r="C17" s="79">
        <v>10597.89</v>
      </c>
      <c r="D17" s="80"/>
      <c r="E17" s="79">
        <v>11689.11</v>
      </c>
      <c r="F17" s="80"/>
      <c r="G17" s="79">
        <v>4998.04</v>
      </c>
      <c r="H17" s="79"/>
      <c r="I17" s="79">
        <v>12000</v>
      </c>
      <c r="J17" s="79"/>
      <c r="K17" s="79">
        <v>12000</v>
      </c>
      <c r="L17" s="79"/>
      <c r="M17" s="79">
        <v>8376.5</v>
      </c>
      <c r="N17" s="79"/>
      <c r="O17" s="79">
        <f t="shared" si="5"/>
        <v>0</v>
      </c>
      <c r="P17" s="79"/>
      <c r="Q17" s="79">
        <f t="shared" si="6"/>
        <v>8376.5</v>
      </c>
      <c r="R17" s="79"/>
      <c r="S17" s="79">
        <v>8000</v>
      </c>
      <c r="T17" s="79"/>
      <c r="U17" s="79">
        <v>12000</v>
      </c>
      <c r="V17" s="79"/>
      <c r="W17" s="79">
        <v>12000</v>
      </c>
      <c r="X17" s="79"/>
      <c r="Y17" s="79">
        <f t="shared" si="7"/>
        <v>0</v>
      </c>
      <c r="Z17" s="62"/>
      <c r="AA17" s="63">
        <f t="shared" si="8"/>
        <v>0</v>
      </c>
      <c r="AB17" s="62"/>
      <c r="AC17" s="79">
        <f t="shared" si="9"/>
        <v>3623.5</v>
      </c>
      <c r="AD17" s="62"/>
      <c r="AE17" s="63">
        <f t="shared" si="10"/>
        <v>0.43257923953918703</v>
      </c>
      <c r="AF17" s="57"/>
      <c r="AG17" s="57"/>
      <c r="AH17" s="57"/>
      <c r="AI17" s="57"/>
      <c r="AJ17" s="57"/>
    </row>
    <row r="18" spans="1:36" x14ac:dyDescent="0.2">
      <c r="A18" s="55" t="s">
        <v>121</v>
      </c>
      <c r="B18" s="56" t="s">
        <v>516</v>
      </c>
      <c r="C18" s="77">
        <v>259134.72</v>
      </c>
      <c r="E18" s="77">
        <v>317996.07</v>
      </c>
      <c r="G18" s="77">
        <v>419038.92</v>
      </c>
      <c r="I18" s="77">
        <v>400000</v>
      </c>
      <c r="K18" s="77">
        <v>400000</v>
      </c>
      <c r="M18" s="77">
        <v>446406.25</v>
      </c>
      <c r="O18" s="77">
        <f t="shared" si="5"/>
        <v>0</v>
      </c>
      <c r="Q18" s="77">
        <f t="shared" si="6"/>
        <v>446406.25</v>
      </c>
      <c r="S18" s="77">
        <v>450000</v>
      </c>
      <c r="U18" s="77">
        <v>475000</v>
      </c>
      <c r="W18" s="77">
        <v>450000</v>
      </c>
      <c r="Y18" s="77">
        <f t="shared" si="7"/>
        <v>50000</v>
      </c>
      <c r="Z18" s="57"/>
      <c r="AA18" s="58">
        <f t="shared" si="8"/>
        <v>0.125</v>
      </c>
      <c r="AB18" s="57"/>
      <c r="AC18" s="77">
        <f t="shared" si="9"/>
        <v>3593.75</v>
      </c>
      <c r="AD18" s="57"/>
      <c r="AE18" s="58">
        <f t="shared" si="10"/>
        <v>8.0504025201260064E-3</v>
      </c>
      <c r="AF18" s="57"/>
      <c r="AG18" s="57" t="s">
        <v>1027</v>
      </c>
      <c r="AH18" s="57"/>
      <c r="AI18" s="57"/>
      <c r="AJ18" s="57"/>
    </row>
    <row r="19" spans="1:36" x14ac:dyDescent="0.2">
      <c r="A19" s="59" t="s">
        <v>122</v>
      </c>
      <c r="B19" s="60" t="s">
        <v>584</v>
      </c>
      <c r="C19" s="79">
        <v>18804</v>
      </c>
      <c r="D19" s="80"/>
      <c r="E19" s="79">
        <v>1984.37</v>
      </c>
      <c r="F19" s="80"/>
      <c r="G19" s="79">
        <v>0</v>
      </c>
      <c r="H19" s="79"/>
      <c r="I19" s="79">
        <v>0</v>
      </c>
      <c r="J19" s="79"/>
      <c r="K19" s="79"/>
      <c r="L19" s="79"/>
      <c r="M19" s="79">
        <v>0</v>
      </c>
      <c r="N19" s="79"/>
      <c r="O19" s="79">
        <f t="shared" si="5"/>
        <v>0</v>
      </c>
      <c r="P19" s="79"/>
      <c r="Q19" s="79">
        <f t="shared" si="6"/>
        <v>0</v>
      </c>
      <c r="R19" s="79"/>
      <c r="S19" s="79">
        <v>0</v>
      </c>
      <c r="T19" s="79"/>
      <c r="U19" s="79">
        <v>40000</v>
      </c>
      <c r="V19" s="79"/>
      <c r="W19" s="79">
        <v>20000</v>
      </c>
      <c r="X19" s="79"/>
      <c r="Y19" s="79">
        <f t="shared" si="7"/>
        <v>20000</v>
      </c>
      <c r="Z19" s="62"/>
      <c r="AA19" s="63" t="e">
        <f t="shared" si="8"/>
        <v>#DIV/0!</v>
      </c>
      <c r="AB19" s="62"/>
      <c r="AC19" s="79">
        <f t="shared" si="9"/>
        <v>20000</v>
      </c>
      <c r="AD19" s="62"/>
      <c r="AE19" s="63" t="e">
        <f t="shared" si="10"/>
        <v>#DIV/0!</v>
      </c>
      <c r="AF19" s="57"/>
      <c r="AG19" s="57" t="s">
        <v>1011</v>
      </c>
      <c r="AH19" s="57"/>
      <c r="AI19" s="57"/>
      <c r="AJ19" s="57"/>
    </row>
    <row r="20" spans="1:36" x14ac:dyDescent="0.2">
      <c r="A20" s="55" t="s">
        <v>123</v>
      </c>
      <c r="B20" s="56" t="s">
        <v>325</v>
      </c>
      <c r="C20" s="77">
        <v>20503.46</v>
      </c>
      <c r="E20" s="77">
        <v>25091.88</v>
      </c>
      <c r="G20" s="77">
        <v>31903.89</v>
      </c>
      <c r="I20" s="77">
        <v>32000</v>
      </c>
      <c r="K20" s="77">
        <v>32000</v>
      </c>
      <c r="M20" s="77">
        <v>33575.58</v>
      </c>
      <c r="O20" s="77">
        <f t="shared" si="5"/>
        <v>0</v>
      </c>
      <c r="Q20" s="77">
        <f t="shared" si="6"/>
        <v>33575.58</v>
      </c>
      <c r="S20" s="77">
        <v>35000</v>
      </c>
      <c r="U20" s="77">
        <v>35000</v>
      </c>
      <c r="W20" s="77">
        <v>35000</v>
      </c>
      <c r="Y20" s="77">
        <f t="shared" si="7"/>
        <v>3000</v>
      </c>
      <c r="Z20" s="57"/>
      <c r="AA20" s="58">
        <f t="shared" si="8"/>
        <v>9.375E-2</v>
      </c>
      <c r="AB20" s="57"/>
      <c r="AC20" s="77">
        <f t="shared" si="9"/>
        <v>1424.4199999999983</v>
      </c>
      <c r="AD20" s="57"/>
      <c r="AE20" s="58">
        <f t="shared" si="10"/>
        <v>4.2424285745771131E-2</v>
      </c>
      <c r="AF20" s="57"/>
      <c r="AG20" s="57"/>
      <c r="AH20" s="57"/>
      <c r="AI20" s="57"/>
      <c r="AJ20" s="57"/>
    </row>
    <row r="21" spans="1:36" x14ac:dyDescent="0.2">
      <c r="A21" s="59" t="s">
        <v>124</v>
      </c>
      <c r="B21" s="60" t="s">
        <v>328</v>
      </c>
      <c r="C21" s="79">
        <v>9961.1299999999992</v>
      </c>
      <c r="D21" s="80"/>
      <c r="E21" s="79">
        <v>15874.46</v>
      </c>
      <c r="F21" s="80"/>
      <c r="G21" s="79">
        <v>25884.48</v>
      </c>
      <c r="H21" s="79"/>
      <c r="I21" s="79">
        <v>22000</v>
      </c>
      <c r="J21" s="79"/>
      <c r="K21" s="79">
        <v>22000</v>
      </c>
      <c r="L21" s="79"/>
      <c r="M21" s="79">
        <v>23668.1</v>
      </c>
      <c r="N21" s="79"/>
      <c r="O21" s="79">
        <f t="shared" si="5"/>
        <v>0</v>
      </c>
      <c r="P21" s="79"/>
      <c r="Q21" s="79">
        <f t="shared" si="6"/>
        <v>23668.1</v>
      </c>
      <c r="R21" s="79"/>
      <c r="S21" s="79">
        <v>25000</v>
      </c>
      <c r="T21" s="79"/>
      <c r="U21" s="79">
        <v>28000</v>
      </c>
      <c r="V21" s="79"/>
      <c r="W21" s="79">
        <v>28000</v>
      </c>
      <c r="X21" s="79"/>
      <c r="Y21" s="79">
        <f t="shared" si="7"/>
        <v>6000</v>
      </c>
      <c r="Z21" s="62"/>
      <c r="AA21" s="63">
        <f t="shared" si="8"/>
        <v>0.27272727272727271</v>
      </c>
      <c r="AB21" s="62"/>
      <c r="AC21" s="79">
        <f t="shared" si="9"/>
        <v>4331.9000000000015</v>
      </c>
      <c r="AD21" s="62"/>
      <c r="AE21" s="63">
        <f t="shared" si="10"/>
        <v>0.1830269434386369</v>
      </c>
      <c r="AF21" s="57"/>
      <c r="AG21" s="57"/>
      <c r="AH21" s="57"/>
      <c r="AI21" s="57"/>
      <c r="AJ21" s="57"/>
    </row>
    <row r="22" spans="1:36" x14ac:dyDescent="0.2">
      <c r="A22" s="64" t="s">
        <v>49</v>
      </c>
      <c r="C22" s="81">
        <f>SUM(C16:C21)</f>
        <v>334468.34000000003</v>
      </c>
      <c r="E22" s="81">
        <f>SUM(E16:E21)</f>
        <v>388883.81</v>
      </c>
      <c r="G22" s="81">
        <f>SUM(G16:G21)</f>
        <v>498771.19999999995</v>
      </c>
      <c r="I22" s="81">
        <f>SUM(I16:I21)</f>
        <v>486000</v>
      </c>
      <c r="K22" s="81">
        <f>SUM(K16:K21)</f>
        <v>486000</v>
      </c>
      <c r="M22" s="81">
        <f>SUM(M16:M21)</f>
        <v>522901.44</v>
      </c>
      <c r="O22" s="81">
        <f>SUM(O16:O21)</f>
        <v>0</v>
      </c>
      <c r="Q22" s="81">
        <f>SUM(Q16:Q21)</f>
        <v>522901.44</v>
      </c>
      <c r="S22" s="81">
        <f>SUM(S16:S21)</f>
        <v>538000</v>
      </c>
      <c r="U22" s="81">
        <f>SUM(U16:U21)</f>
        <v>612000</v>
      </c>
      <c r="W22" s="81">
        <f>SUM(W16:W21)</f>
        <v>567000</v>
      </c>
      <c r="Y22" s="81">
        <f>SUM(Y16:Y21)</f>
        <v>81000</v>
      </c>
      <c r="Z22" s="57"/>
      <c r="AA22" s="65">
        <f t="shared" si="8"/>
        <v>0.16666666666666669</v>
      </c>
      <c r="AB22" s="57"/>
      <c r="AC22" s="81">
        <f>SUM(AC16:AC21)</f>
        <v>44098.559999999998</v>
      </c>
      <c r="AD22" s="57"/>
      <c r="AE22" s="65">
        <f t="shared" si="10"/>
        <v>8.4334363278861874E-2</v>
      </c>
      <c r="AF22" s="57"/>
      <c r="AG22" s="57"/>
      <c r="AH22" s="57"/>
      <c r="AI22" s="57"/>
      <c r="AJ22" s="57"/>
    </row>
    <row r="23" spans="1:36" x14ac:dyDescent="0.2">
      <c r="Z23" s="57"/>
      <c r="AB23" s="57"/>
      <c r="AD23" s="57"/>
      <c r="AF23" s="57"/>
      <c r="AG23" s="57"/>
      <c r="AH23" s="57"/>
      <c r="AI23" s="57"/>
      <c r="AJ23" s="57"/>
    </row>
    <row r="24" spans="1:36" x14ac:dyDescent="0.2">
      <c r="A24" s="54" t="s">
        <v>65</v>
      </c>
      <c r="Z24" s="57"/>
      <c r="AB24" s="57"/>
      <c r="AD24" s="57"/>
      <c r="AF24" s="57"/>
      <c r="AG24" s="57"/>
      <c r="AH24" s="57"/>
      <c r="AI24" s="57"/>
      <c r="AJ24" s="57"/>
    </row>
    <row r="25" spans="1:36" x14ac:dyDescent="0.2">
      <c r="A25" s="59" t="s">
        <v>1028</v>
      </c>
      <c r="B25" s="60" t="s">
        <v>342</v>
      </c>
      <c r="C25" s="79">
        <v>0</v>
      </c>
      <c r="D25" s="80"/>
      <c r="E25" s="79">
        <v>0</v>
      </c>
      <c r="F25" s="80"/>
      <c r="G25" s="79">
        <v>0</v>
      </c>
      <c r="H25" s="79"/>
      <c r="I25" s="79">
        <v>0</v>
      </c>
      <c r="J25" s="79"/>
      <c r="K25" s="79">
        <v>0</v>
      </c>
      <c r="L25" s="79"/>
      <c r="M25" s="79">
        <v>0</v>
      </c>
      <c r="N25" s="79"/>
      <c r="O25" s="79">
        <f>PRODUCT(M25,0/12)</f>
        <v>0</v>
      </c>
      <c r="P25" s="79"/>
      <c r="Q25" s="79">
        <f>SUM(M25,O25)</f>
        <v>0</v>
      </c>
      <c r="R25" s="79"/>
      <c r="S25" s="79">
        <v>0</v>
      </c>
      <c r="T25" s="79"/>
      <c r="U25" s="79">
        <v>15000</v>
      </c>
      <c r="V25" s="79"/>
      <c r="W25" s="79">
        <v>10000</v>
      </c>
      <c r="X25" s="79"/>
      <c r="Y25" s="79">
        <f>SUM(W25,-I25)</f>
        <v>10000</v>
      </c>
      <c r="Z25" s="62"/>
      <c r="AA25" s="63" t="e">
        <f t="shared" ref="AA25:AA30" si="11">IF(W25=0,"N/A",PRODUCT(Y25,1/I25))</f>
        <v>#DIV/0!</v>
      </c>
      <c r="AB25" s="62"/>
      <c r="AC25" s="79">
        <f>SUM(W25,-Q25)</f>
        <v>10000</v>
      </c>
      <c r="AD25" s="62"/>
      <c r="AE25" s="63" t="e">
        <f t="shared" ref="AE25:AE30" si="12">IF(W25=0,"N/A",PRODUCT(AC25,1/Q25))</f>
        <v>#DIV/0!</v>
      </c>
      <c r="AF25" s="57"/>
      <c r="AG25" s="57" t="s">
        <v>1020</v>
      </c>
      <c r="AH25" s="57"/>
      <c r="AI25" s="57"/>
      <c r="AJ25" s="57"/>
    </row>
    <row r="26" spans="1:36" x14ac:dyDescent="0.2">
      <c r="A26" s="55" t="s">
        <v>125</v>
      </c>
      <c r="B26" s="56" t="s">
        <v>443</v>
      </c>
      <c r="C26" s="77">
        <v>13446.46</v>
      </c>
      <c r="E26" s="77">
        <v>12963.25</v>
      </c>
      <c r="G26" s="77">
        <v>15118.78</v>
      </c>
      <c r="I26" s="77">
        <v>20000</v>
      </c>
      <c r="K26" s="77">
        <v>20000</v>
      </c>
      <c r="M26" s="77">
        <v>8132.39</v>
      </c>
      <c r="O26" s="77">
        <f>PRODUCT(M26,0/12)</f>
        <v>0</v>
      </c>
      <c r="Q26" s="77">
        <f>SUM(M26,O26)</f>
        <v>8132.39</v>
      </c>
      <c r="S26" s="77">
        <v>18000</v>
      </c>
      <c r="U26" s="77">
        <v>20000</v>
      </c>
      <c r="W26" s="77">
        <v>20000</v>
      </c>
      <c r="Y26" s="77">
        <f>SUM(W26,-I26)</f>
        <v>0</v>
      </c>
      <c r="Z26" s="57"/>
      <c r="AA26" s="58">
        <f t="shared" si="11"/>
        <v>0</v>
      </c>
      <c r="AB26" s="57"/>
      <c r="AC26" s="77">
        <f>SUM(W26,-Q26)</f>
        <v>11867.61</v>
      </c>
      <c r="AD26" s="57"/>
      <c r="AE26" s="58">
        <f t="shared" si="12"/>
        <v>1.4593016321155283</v>
      </c>
      <c r="AF26" s="57"/>
      <c r="AG26" s="57"/>
      <c r="AH26" s="57"/>
      <c r="AI26" s="57"/>
      <c r="AJ26" s="57"/>
    </row>
    <row r="27" spans="1:36" x14ac:dyDescent="0.2">
      <c r="A27" s="59" t="s">
        <v>126</v>
      </c>
      <c r="B27" s="60" t="s">
        <v>343</v>
      </c>
      <c r="C27" s="79">
        <v>0</v>
      </c>
      <c r="D27" s="80"/>
      <c r="E27" s="79">
        <v>0</v>
      </c>
      <c r="F27" s="80"/>
      <c r="G27" s="79">
        <v>0</v>
      </c>
      <c r="H27" s="79"/>
      <c r="I27" s="79">
        <v>0</v>
      </c>
      <c r="J27" s="79"/>
      <c r="K27" s="79">
        <v>0</v>
      </c>
      <c r="L27" s="79"/>
      <c r="M27" s="79">
        <v>0</v>
      </c>
      <c r="N27" s="79"/>
      <c r="O27" s="79">
        <f>PRODUCT(M27,0/12)</f>
        <v>0</v>
      </c>
      <c r="P27" s="79"/>
      <c r="Q27" s="79">
        <f>SUM(M27,O27)</f>
        <v>0</v>
      </c>
      <c r="R27" s="79"/>
      <c r="S27" s="79">
        <v>0</v>
      </c>
      <c r="T27" s="79"/>
      <c r="U27" s="79">
        <v>12500</v>
      </c>
      <c r="V27" s="79"/>
      <c r="W27" s="79">
        <v>12500</v>
      </c>
      <c r="X27" s="79"/>
      <c r="Y27" s="79">
        <f>SUM(W27,-I27)</f>
        <v>12500</v>
      </c>
      <c r="Z27" s="62"/>
      <c r="AA27" s="63" t="e">
        <f t="shared" si="11"/>
        <v>#DIV/0!</v>
      </c>
      <c r="AB27" s="62"/>
      <c r="AC27" s="79">
        <f>SUM(W27,-Q27)</f>
        <v>12500</v>
      </c>
      <c r="AD27" s="62"/>
      <c r="AE27" s="63" t="e">
        <f t="shared" si="12"/>
        <v>#DIV/0!</v>
      </c>
      <c r="AF27" s="57"/>
      <c r="AG27" s="57" t="s">
        <v>1020</v>
      </c>
      <c r="AH27" s="57"/>
      <c r="AI27" s="57"/>
      <c r="AJ27" s="57"/>
    </row>
    <row r="28" spans="1:36" x14ac:dyDescent="0.2">
      <c r="A28" s="55" t="s">
        <v>1029</v>
      </c>
      <c r="B28" s="56" t="s">
        <v>586</v>
      </c>
      <c r="C28" s="77">
        <v>0</v>
      </c>
      <c r="E28" s="77">
        <v>0</v>
      </c>
      <c r="G28" s="77">
        <v>0</v>
      </c>
      <c r="I28" s="77">
        <v>30000</v>
      </c>
      <c r="K28" s="77">
        <v>30000</v>
      </c>
      <c r="M28" s="77">
        <v>19950</v>
      </c>
      <c r="O28" s="77">
        <f>PRODUCT(M28,0/12)</f>
        <v>0</v>
      </c>
      <c r="Q28" s="77">
        <f>SUM(M28,O28)</f>
        <v>19950</v>
      </c>
      <c r="S28" s="77">
        <v>28000</v>
      </c>
      <c r="U28" s="77">
        <v>30000</v>
      </c>
      <c r="W28" s="77">
        <v>30000</v>
      </c>
      <c r="Y28" s="77">
        <f>SUM(W28,-I28)</f>
        <v>0</v>
      </c>
      <c r="Z28" s="57"/>
      <c r="AA28" s="58">
        <f t="shared" si="11"/>
        <v>0</v>
      </c>
      <c r="AB28" s="57"/>
      <c r="AC28" s="77">
        <f>SUM(W28,-Q28)</f>
        <v>10050</v>
      </c>
      <c r="AD28" s="57"/>
      <c r="AE28" s="58">
        <f t="shared" si="12"/>
        <v>0.50375939849624063</v>
      </c>
      <c r="AF28" s="57"/>
      <c r="AG28" s="57" t="s">
        <v>1526</v>
      </c>
      <c r="AH28" s="57"/>
      <c r="AI28" s="57"/>
      <c r="AJ28" s="57"/>
    </row>
    <row r="29" spans="1:36" x14ac:dyDescent="0.2">
      <c r="A29" s="59" t="s">
        <v>127</v>
      </c>
      <c r="B29" s="60" t="s">
        <v>445</v>
      </c>
      <c r="C29" s="79">
        <v>7964.19</v>
      </c>
      <c r="D29" s="80"/>
      <c r="E29" s="79">
        <v>13836.45</v>
      </c>
      <c r="F29" s="80"/>
      <c r="G29" s="79">
        <v>9776.4500000000007</v>
      </c>
      <c r="H29" s="79"/>
      <c r="I29" s="79">
        <v>15000</v>
      </c>
      <c r="J29" s="79"/>
      <c r="K29" s="79">
        <v>15000</v>
      </c>
      <c r="L29" s="79"/>
      <c r="M29" s="79">
        <v>12726.25</v>
      </c>
      <c r="N29" s="79"/>
      <c r="O29" s="79">
        <f>PRODUCT(M29,0/12)</f>
        <v>0</v>
      </c>
      <c r="P29" s="79"/>
      <c r="Q29" s="79">
        <f>SUM(M29,O29)</f>
        <v>12726.25</v>
      </c>
      <c r="R29" s="79"/>
      <c r="S29" s="79">
        <v>12500</v>
      </c>
      <c r="T29" s="79"/>
      <c r="U29" s="79">
        <v>15000</v>
      </c>
      <c r="V29" s="79"/>
      <c r="W29" s="79">
        <v>12500</v>
      </c>
      <c r="X29" s="79"/>
      <c r="Y29" s="79">
        <f>SUM(W29,-I29)</f>
        <v>-2500</v>
      </c>
      <c r="Z29" s="62"/>
      <c r="AA29" s="63">
        <f t="shared" si="11"/>
        <v>-0.16666666666666669</v>
      </c>
      <c r="AB29" s="62"/>
      <c r="AC29" s="79">
        <f>SUM(W29,-Q29)</f>
        <v>-226.25</v>
      </c>
      <c r="AD29" s="62"/>
      <c r="AE29" s="63">
        <f t="shared" si="12"/>
        <v>-1.7778214320793635E-2</v>
      </c>
      <c r="AF29" s="57"/>
      <c r="AG29" s="57"/>
      <c r="AH29" s="57"/>
      <c r="AI29" s="57"/>
      <c r="AJ29" s="57"/>
    </row>
    <row r="30" spans="1:36" x14ac:dyDescent="0.2">
      <c r="A30" s="64" t="s">
        <v>66</v>
      </c>
      <c r="C30" s="81">
        <f>SUM(C25:C29)</f>
        <v>21410.649999999998</v>
      </c>
      <c r="E30" s="81">
        <f>SUM(E25:E29)</f>
        <v>26799.7</v>
      </c>
      <c r="G30" s="81">
        <f>SUM(G25:G29)</f>
        <v>24895.230000000003</v>
      </c>
      <c r="I30" s="81">
        <f>SUM(I25:I29)</f>
        <v>65000</v>
      </c>
      <c r="K30" s="81">
        <f>SUM(K25:K29)</f>
        <v>65000</v>
      </c>
      <c r="M30" s="81">
        <f>SUM(M25:M29)</f>
        <v>40808.639999999999</v>
      </c>
      <c r="O30" s="81">
        <f>SUM(O25:O29)</f>
        <v>0</v>
      </c>
      <c r="Q30" s="81">
        <f>SUM(Q25:Q29)</f>
        <v>40808.639999999999</v>
      </c>
      <c r="S30" s="81">
        <f>SUM(S25:S29)</f>
        <v>58500</v>
      </c>
      <c r="U30" s="81">
        <f>SUM(U25:U29)</f>
        <v>92500</v>
      </c>
      <c r="W30" s="81">
        <f>SUM(W25:W29)</f>
        <v>85000</v>
      </c>
      <c r="Y30" s="81">
        <f>SUM(Y25:Y29)</f>
        <v>20000</v>
      </c>
      <c r="Z30" s="57"/>
      <c r="AA30" s="65">
        <f t="shared" si="11"/>
        <v>0.30769230769230765</v>
      </c>
      <c r="AB30" s="57"/>
      <c r="AC30" s="81">
        <f>SUM(AC25:AC29)</f>
        <v>44191.360000000001</v>
      </c>
      <c r="AD30" s="57"/>
      <c r="AE30" s="65">
        <f t="shared" si="12"/>
        <v>1.0828922502685707</v>
      </c>
      <c r="AF30" s="57"/>
      <c r="AG30" s="57"/>
      <c r="AH30" s="57"/>
      <c r="AI30" s="57"/>
      <c r="AJ30" s="57"/>
    </row>
    <row r="31" spans="1:36" x14ac:dyDescent="0.2">
      <c r="Z31" s="57"/>
      <c r="AB31" s="57"/>
      <c r="AD31" s="57"/>
      <c r="AF31" s="57"/>
      <c r="AG31" s="57"/>
      <c r="AH31" s="57"/>
      <c r="AI31" s="57"/>
      <c r="AJ31" s="57"/>
    </row>
    <row r="32" spans="1:36" x14ac:dyDescent="0.2">
      <c r="A32" s="54" t="s">
        <v>69</v>
      </c>
      <c r="Z32" s="57"/>
      <c r="AB32" s="57"/>
      <c r="AD32" s="57"/>
      <c r="AF32" s="57"/>
      <c r="AG32" s="57"/>
      <c r="AH32" s="57"/>
      <c r="AI32" s="57"/>
      <c r="AJ32" s="57"/>
    </row>
    <row r="33" spans="1:36" x14ac:dyDescent="0.2">
      <c r="A33" s="55" t="s">
        <v>128</v>
      </c>
      <c r="B33" s="56" t="s">
        <v>581</v>
      </c>
      <c r="C33" s="77">
        <v>56898.1</v>
      </c>
      <c r="E33" s="77">
        <v>25677.02</v>
      </c>
      <c r="G33" s="77">
        <v>63989.94</v>
      </c>
      <c r="I33" s="77">
        <v>70000</v>
      </c>
      <c r="K33" s="77">
        <v>70000</v>
      </c>
      <c r="M33" s="77">
        <v>24539.25</v>
      </c>
      <c r="O33" s="77">
        <f t="shared" ref="O33:O40" si="13">PRODUCT(M33,0/12)</f>
        <v>0</v>
      </c>
      <c r="Q33" s="77">
        <f t="shared" ref="Q33:Q40" si="14">SUM(M33,O33)</f>
        <v>24539.25</v>
      </c>
      <c r="S33" s="77">
        <v>45000</v>
      </c>
      <c r="U33" s="77">
        <v>85000</v>
      </c>
      <c r="W33" s="77">
        <v>80000</v>
      </c>
      <c r="Y33" s="77">
        <f t="shared" ref="Y33:Y40" si="15">SUM(W33,-I33)</f>
        <v>10000</v>
      </c>
      <c r="Z33" s="57"/>
      <c r="AA33" s="58">
        <f t="shared" ref="AA33:AA41" si="16">IF(W33=0,"N/A",PRODUCT(Y33,1/I33))</f>
        <v>0.14285714285714285</v>
      </c>
      <c r="AB33" s="57"/>
      <c r="AC33" s="77">
        <f t="shared" ref="AC33:AC40" si="17">SUM(W33,-Q33)</f>
        <v>55460.75</v>
      </c>
      <c r="AD33" s="57"/>
      <c r="AE33" s="58">
        <f t="shared" ref="AE33:AE41" si="18">IF(W33=0,"N/A",PRODUCT(AC33,1/Q33))</f>
        <v>2.2600833358802737</v>
      </c>
      <c r="AF33" s="57"/>
      <c r="AG33" s="57" t="s">
        <v>1030</v>
      </c>
      <c r="AH33" s="57"/>
      <c r="AI33" s="57"/>
      <c r="AJ33" s="57"/>
    </row>
    <row r="34" spans="1:36" x14ac:dyDescent="0.2">
      <c r="A34" s="59" t="s">
        <v>129</v>
      </c>
      <c r="B34" s="60" t="s">
        <v>230</v>
      </c>
      <c r="C34" s="79">
        <v>5633</v>
      </c>
      <c r="D34" s="80"/>
      <c r="E34" s="79">
        <v>10185.85</v>
      </c>
      <c r="F34" s="80"/>
      <c r="G34" s="79">
        <v>5596.7</v>
      </c>
      <c r="H34" s="79"/>
      <c r="I34" s="79">
        <v>20000</v>
      </c>
      <c r="J34" s="79"/>
      <c r="K34" s="79">
        <v>20000</v>
      </c>
      <c r="L34" s="79"/>
      <c r="M34" s="79">
        <v>3832.81</v>
      </c>
      <c r="N34" s="79"/>
      <c r="O34" s="79">
        <f t="shared" si="13"/>
        <v>0</v>
      </c>
      <c r="P34" s="79"/>
      <c r="Q34" s="79">
        <f t="shared" si="14"/>
        <v>3832.81</v>
      </c>
      <c r="R34" s="79"/>
      <c r="S34" s="79">
        <v>15000</v>
      </c>
      <c r="T34" s="79"/>
      <c r="U34" s="79">
        <v>20000</v>
      </c>
      <c r="V34" s="79"/>
      <c r="W34" s="79">
        <v>20000</v>
      </c>
      <c r="X34" s="79"/>
      <c r="Y34" s="79">
        <f t="shared" si="15"/>
        <v>0</v>
      </c>
      <c r="Z34" s="62"/>
      <c r="AA34" s="63">
        <f t="shared" si="16"/>
        <v>0</v>
      </c>
      <c r="AB34" s="62"/>
      <c r="AC34" s="79">
        <f t="shared" si="17"/>
        <v>16167.19</v>
      </c>
      <c r="AD34" s="62"/>
      <c r="AE34" s="63">
        <f t="shared" si="18"/>
        <v>4.2181036889384034</v>
      </c>
      <c r="AF34" s="57"/>
      <c r="AG34" s="57"/>
      <c r="AH34" s="57"/>
      <c r="AI34" s="57"/>
      <c r="AJ34" s="57"/>
    </row>
    <row r="35" spans="1:36" x14ac:dyDescent="0.2">
      <c r="A35" s="55" t="s">
        <v>130</v>
      </c>
      <c r="B35" s="56" t="s">
        <v>588</v>
      </c>
      <c r="C35" s="77">
        <v>74995.520000000004</v>
      </c>
      <c r="E35" s="77">
        <v>105406.55</v>
      </c>
      <c r="G35" s="77">
        <v>228925.97</v>
      </c>
      <c r="I35" s="77">
        <v>175000</v>
      </c>
      <c r="K35" s="77">
        <v>175000</v>
      </c>
      <c r="M35" s="77">
        <v>152924.35999999999</v>
      </c>
      <c r="O35" s="77">
        <f t="shared" si="13"/>
        <v>0</v>
      </c>
      <c r="Q35" s="77">
        <f t="shared" si="14"/>
        <v>152924.35999999999</v>
      </c>
      <c r="S35" s="77">
        <v>175000</v>
      </c>
      <c r="U35" s="77">
        <v>300000</v>
      </c>
      <c r="W35" s="77">
        <v>300000</v>
      </c>
      <c r="Y35" s="77">
        <f t="shared" si="15"/>
        <v>125000</v>
      </c>
      <c r="Z35" s="57"/>
      <c r="AA35" s="58">
        <f t="shared" si="16"/>
        <v>0.7142857142857143</v>
      </c>
      <c r="AB35" s="57"/>
      <c r="AC35" s="77">
        <f t="shared" si="17"/>
        <v>147075.64000000001</v>
      </c>
      <c r="AD35" s="57"/>
      <c r="AE35" s="58">
        <f t="shared" si="18"/>
        <v>0.96175416395399682</v>
      </c>
      <c r="AF35" s="57"/>
      <c r="AG35" s="57" t="s">
        <v>1031</v>
      </c>
      <c r="AH35" s="57"/>
      <c r="AI35" s="57"/>
      <c r="AJ35" s="57"/>
    </row>
    <row r="36" spans="1:36" x14ac:dyDescent="0.2">
      <c r="A36" s="59" t="s">
        <v>131</v>
      </c>
      <c r="B36" s="60" t="s">
        <v>503</v>
      </c>
      <c r="C36" s="79">
        <v>31010.32</v>
      </c>
      <c r="D36" s="80"/>
      <c r="E36" s="79">
        <v>1253.24</v>
      </c>
      <c r="F36" s="80"/>
      <c r="G36" s="79">
        <v>80246.759999999995</v>
      </c>
      <c r="H36" s="79"/>
      <c r="I36" s="79">
        <v>60000</v>
      </c>
      <c r="J36" s="79"/>
      <c r="K36" s="79">
        <v>60000</v>
      </c>
      <c r="L36" s="79"/>
      <c r="M36" s="79">
        <v>58617.75</v>
      </c>
      <c r="N36" s="79"/>
      <c r="O36" s="79">
        <f t="shared" si="13"/>
        <v>0</v>
      </c>
      <c r="P36" s="79"/>
      <c r="Q36" s="79">
        <f t="shared" si="14"/>
        <v>58617.75</v>
      </c>
      <c r="R36" s="79"/>
      <c r="S36" s="79">
        <v>70000</v>
      </c>
      <c r="T36" s="79"/>
      <c r="U36" s="79">
        <v>80000</v>
      </c>
      <c r="V36" s="79"/>
      <c r="W36" s="79">
        <v>80000</v>
      </c>
      <c r="X36" s="79"/>
      <c r="Y36" s="79">
        <f t="shared" si="15"/>
        <v>20000</v>
      </c>
      <c r="Z36" s="62"/>
      <c r="AA36" s="63">
        <f t="shared" si="16"/>
        <v>0.33333333333333337</v>
      </c>
      <c r="AB36" s="62"/>
      <c r="AC36" s="79">
        <f t="shared" si="17"/>
        <v>21382.25</v>
      </c>
      <c r="AD36" s="62"/>
      <c r="AE36" s="63">
        <f t="shared" si="18"/>
        <v>0.36477432177113589</v>
      </c>
      <c r="AF36" s="57"/>
      <c r="AG36" s="57"/>
      <c r="AH36" s="57"/>
      <c r="AI36" s="57"/>
      <c r="AJ36" s="57"/>
    </row>
    <row r="37" spans="1:36" x14ac:dyDescent="0.2">
      <c r="A37" s="55" t="s">
        <v>132</v>
      </c>
      <c r="B37" s="56" t="s">
        <v>347</v>
      </c>
      <c r="C37" s="77">
        <v>2325.9699999999998</v>
      </c>
      <c r="E37" s="77">
        <v>3547.5</v>
      </c>
      <c r="G37" s="77">
        <v>3092.58</v>
      </c>
      <c r="I37" s="77">
        <v>2500</v>
      </c>
      <c r="K37" s="77">
        <v>2500</v>
      </c>
      <c r="M37" s="77">
        <v>2599.13</v>
      </c>
      <c r="O37" s="77">
        <f t="shared" si="13"/>
        <v>0</v>
      </c>
      <c r="Q37" s="77">
        <f t="shared" si="14"/>
        <v>2599.13</v>
      </c>
      <c r="S37" s="77">
        <v>3000</v>
      </c>
      <c r="U37" s="77">
        <v>2500</v>
      </c>
      <c r="W37" s="77">
        <v>2500</v>
      </c>
      <c r="Y37" s="77">
        <f t="shared" si="15"/>
        <v>0</v>
      </c>
      <c r="Z37" s="57"/>
      <c r="AA37" s="58">
        <f t="shared" si="16"/>
        <v>0</v>
      </c>
      <c r="AB37" s="57"/>
      <c r="AC37" s="77">
        <f t="shared" si="17"/>
        <v>-99.130000000000109</v>
      </c>
      <c r="AD37" s="57"/>
      <c r="AE37" s="58">
        <f t="shared" si="18"/>
        <v>-3.8139685202356215E-2</v>
      </c>
      <c r="AF37" s="57"/>
      <c r="AG37" s="57"/>
      <c r="AH37" s="57"/>
      <c r="AI37" s="57"/>
      <c r="AJ37" s="57"/>
    </row>
    <row r="38" spans="1:36" x14ac:dyDescent="0.2">
      <c r="A38" s="59" t="s">
        <v>133</v>
      </c>
      <c r="B38" s="60" t="s">
        <v>582</v>
      </c>
      <c r="C38" s="79">
        <v>660</v>
      </c>
      <c r="D38" s="80"/>
      <c r="E38" s="79">
        <v>2177.06</v>
      </c>
      <c r="F38" s="80"/>
      <c r="G38" s="79">
        <v>1641.45</v>
      </c>
      <c r="H38" s="79"/>
      <c r="I38" s="79">
        <v>3500</v>
      </c>
      <c r="J38" s="79"/>
      <c r="K38" s="79">
        <v>3500</v>
      </c>
      <c r="L38" s="79"/>
      <c r="M38" s="79">
        <v>64.11</v>
      </c>
      <c r="N38" s="79"/>
      <c r="O38" s="79">
        <f t="shared" si="13"/>
        <v>0</v>
      </c>
      <c r="P38" s="79"/>
      <c r="Q38" s="79">
        <f t="shared" si="14"/>
        <v>64.11</v>
      </c>
      <c r="R38" s="79"/>
      <c r="S38" s="79">
        <v>2000</v>
      </c>
      <c r="T38" s="79"/>
      <c r="U38" s="79">
        <v>3500</v>
      </c>
      <c r="V38" s="79"/>
      <c r="W38" s="79">
        <v>3500</v>
      </c>
      <c r="X38" s="79"/>
      <c r="Y38" s="79">
        <f t="shared" si="15"/>
        <v>0</v>
      </c>
      <c r="Z38" s="62"/>
      <c r="AA38" s="63">
        <f t="shared" si="16"/>
        <v>0</v>
      </c>
      <c r="AB38" s="62"/>
      <c r="AC38" s="79">
        <f t="shared" si="17"/>
        <v>3435.89</v>
      </c>
      <c r="AD38" s="62"/>
      <c r="AE38" s="63">
        <f t="shared" si="18"/>
        <v>53.593667134612382</v>
      </c>
      <c r="AF38" s="57"/>
      <c r="AG38" s="57"/>
      <c r="AH38" s="57"/>
      <c r="AI38" s="57"/>
      <c r="AJ38" s="57"/>
    </row>
    <row r="39" spans="1:36" x14ac:dyDescent="0.2">
      <c r="A39" s="55" t="s">
        <v>134</v>
      </c>
      <c r="B39" s="56" t="s">
        <v>450</v>
      </c>
      <c r="C39" s="77">
        <v>4213.96</v>
      </c>
      <c r="E39" s="77">
        <v>4719.17</v>
      </c>
      <c r="G39" s="77">
        <v>9790.5499999999993</v>
      </c>
      <c r="I39" s="77">
        <v>5500</v>
      </c>
      <c r="K39" s="77">
        <v>5500</v>
      </c>
      <c r="M39" s="77">
        <v>4446.7700000000004</v>
      </c>
      <c r="O39" s="77">
        <f t="shared" si="13"/>
        <v>0</v>
      </c>
      <c r="Q39" s="77">
        <f t="shared" si="14"/>
        <v>4446.7700000000004</v>
      </c>
      <c r="S39" s="77">
        <v>5000</v>
      </c>
      <c r="U39" s="77">
        <v>6000</v>
      </c>
      <c r="W39" s="77">
        <v>5500</v>
      </c>
      <c r="Y39" s="77">
        <f t="shared" si="15"/>
        <v>0</v>
      </c>
      <c r="Z39" s="57"/>
      <c r="AA39" s="58">
        <f t="shared" si="16"/>
        <v>0</v>
      </c>
      <c r="AB39" s="57"/>
      <c r="AC39" s="77">
        <f t="shared" si="17"/>
        <v>1053.2299999999996</v>
      </c>
      <c r="AD39" s="57"/>
      <c r="AE39" s="58">
        <f t="shared" si="18"/>
        <v>0.23685281676362832</v>
      </c>
      <c r="AF39" s="57"/>
      <c r="AG39" s="57"/>
      <c r="AH39" s="57"/>
      <c r="AI39" s="57"/>
      <c r="AJ39" s="57"/>
    </row>
    <row r="40" spans="1:36" x14ac:dyDescent="0.2">
      <c r="A40" s="59" t="s">
        <v>135</v>
      </c>
      <c r="B40" s="60" t="s">
        <v>217</v>
      </c>
      <c r="C40" s="79">
        <v>7741.06</v>
      </c>
      <c r="D40" s="80"/>
      <c r="E40" s="79">
        <v>6407.48</v>
      </c>
      <c r="F40" s="80"/>
      <c r="G40" s="79">
        <v>9121.86</v>
      </c>
      <c r="H40" s="79"/>
      <c r="I40" s="79">
        <v>6500</v>
      </c>
      <c r="J40" s="79"/>
      <c r="K40" s="79">
        <v>6500</v>
      </c>
      <c r="L40" s="79"/>
      <c r="M40" s="79">
        <v>9160.4599999999991</v>
      </c>
      <c r="N40" s="79"/>
      <c r="O40" s="79">
        <f t="shared" si="13"/>
        <v>0</v>
      </c>
      <c r="P40" s="79"/>
      <c r="Q40" s="79">
        <f t="shared" si="14"/>
        <v>9160.4599999999991</v>
      </c>
      <c r="R40" s="79"/>
      <c r="S40" s="79">
        <v>7000</v>
      </c>
      <c r="T40" s="79"/>
      <c r="U40" s="79">
        <v>11000</v>
      </c>
      <c r="V40" s="79"/>
      <c r="W40" s="79">
        <v>9500</v>
      </c>
      <c r="X40" s="79"/>
      <c r="Y40" s="79">
        <f t="shared" si="15"/>
        <v>3000</v>
      </c>
      <c r="Z40" s="62"/>
      <c r="AA40" s="63">
        <f t="shared" si="16"/>
        <v>0.46153846153846156</v>
      </c>
      <c r="AB40" s="62"/>
      <c r="AC40" s="79">
        <f t="shared" si="17"/>
        <v>339.54000000000087</v>
      </c>
      <c r="AD40" s="62"/>
      <c r="AE40" s="63">
        <f t="shared" si="18"/>
        <v>3.7065824205334767E-2</v>
      </c>
      <c r="AF40" s="57"/>
      <c r="AG40" s="57" t="s">
        <v>1012</v>
      </c>
      <c r="AH40" s="57"/>
      <c r="AI40" s="57"/>
      <c r="AJ40" s="57"/>
    </row>
    <row r="41" spans="1:36" x14ac:dyDescent="0.2">
      <c r="A41" s="64" t="s">
        <v>70</v>
      </c>
      <c r="C41" s="81">
        <f>SUM(C33:C40)</f>
        <v>183477.93</v>
      </c>
      <c r="E41" s="81">
        <f>SUM(E33:E40)</f>
        <v>159373.87000000002</v>
      </c>
      <c r="F41" s="77"/>
      <c r="G41" s="81">
        <f>SUM(G33:G40)</f>
        <v>402405.81</v>
      </c>
      <c r="I41" s="81">
        <f>SUM(I33:I40)</f>
        <v>343000</v>
      </c>
      <c r="K41" s="81">
        <f>SUM(K33:K40)</f>
        <v>343000</v>
      </c>
      <c r="M41" s="81">
        <f>SUM(M33:M40)</f>
        <v>256184.63999999996</v>
      </c>
      <c r="O41" s="81">
        <f>SUM(O33:O40)</f>
        <v>0</v>
      </c>
      <c r="Q41" s="81">
        <f>SUM(Q33:Q40)</f>
        <v>256184.63999999996</v>
      </c>
      <c r="S41" s="81">
        <f>SUM(S33:S40)</f>
        <v>322000</v>
      </c>
      <c r="U41" s="81">
        <f>SUM(U33:U40)</f>
        <v>508000</v>
      </c>
      <c r="W41" s="81">
        <f>SUM(W33:W40)</f>
        <v>501000</v>
      </c>
      <c r="Y41" s="81">
        <f>SUM(Y33:Y40)</f>
        <v>158000</v>
      </c>
      <c r="Z41" s="57"/>
      <c r="AA41" s="65">
        <f t="shared" si="16"/>
        <v>0.46064139941690962</v>
      </c>
      <c r="AB41" s="57"/>
      <c r="AC41" s="81">
        <f>SUM(AC33:AC40)</f>
        <v>244815.36000000004</v>
      </c>
      <c r="AD41" s="57"/>
      <c r="AE41" s="65">
        <f t="shared" si="18"/>
        <v>0.95562075852791206</v>
      </c>
      <c r="AF41" s="57"/>
      <c r="AG41" s="57"/>
      <c r="AH41" s="57"/>
      <c r="AI41" s="57"/>
      <c r="AJ41" s="57"/>
    </row>
    <row r="42" spans="1:36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ht="13.5" thickBot="1" x14ac:dyDescent="0.25">
      <c r="A43" s="67" t="s">
        <v>111</v>
      </c>
      <c r="C43" s="83">
        <f>SUM(C13,C22,C30,C41)</f>
        <v>966741.2200000002</v>
      </c>
      <c r="E43" s="83">
        <f>SUM(E13,E22,E30,E41)</f>
        <v>1048925.1400000001</v>
      </c>
      <c r="G43" s="83">
        <f>SUM(G13,G22,G30,G41)</f>
        <v>1452566.22</v>
      </c>
      <c r="I43" s="83">
        <f>SUM(I13,I22,I30,I41)</f>
        <v>1480850</v>
      </c>
      <c r="K43" s="83">
        <f>SUM(K13,K22,K30,K41)</f>
        <v>1480850</v>
      </c>
      <c r="M43" s="82">
        <f>SUM(M13,M22,M30,M41)</f>
        <v>1453446.8199999998</v>
      </c>
      <c r="O43" s="82">
        <f>SUM(O13,O22,O30,O41)</f>
        <v>0</v>
      </c>
      <c r="Q43" s="83">
        <f>SUM(Q13,Q22,Q30,Q41)</f>
        <v>1453446.8199999998</v>
      </c>
      <c r="S43" s="82">
        <f>SUM(S13,S22,S30,S41)</f>
        <v>1565500</v>
      </c>
      <c r="U43" s="82">
        <f>SUM(U13,U22,U30,U41)</f>
        <v>1915000</v>
      </c>
      <c r="W43" s="83">
        <f>SUM(W13,W22,W30,W41)</f>
        <v>1800000</v>
      </c>
      <c r="Y43" s="82">
        <f>SUM(Y13,Y22,Y30,Y41)</f>
        <v>319150</v>
      </c>
      <c r="Z43" s="57"/>
      <c r="AA43" s="125">
        <f>IF(W43=0,"N/A",PRODUCT(Y43,1/I43))</f>
        <v>0.21551811459634668</v>
      </c>
      <c r="AB43" s="57"/>
      <c r="AC43" s="82">
        <f>SUM(AC13,AC22,AC30,AC41)</f>
        <v>346553.18000000005</v>
      </c>
      <c r="AD43" s="57"/>
      <c r="AE43" s="125">
        <f>IF(W43=0,"N/A",PRODUCT(AC43,1/Q43))</f>
        <v>0.23843540419318549</v>
      </c>
      <c r="AF43" s="57"/>
      <c r="AG43" s="57"/>
      <c r="AH43" s="57"/>
      <c r="AI43" s="57"/>
      <c r="AJ43" s="57"/>
    </row>
    <row r="44" spans="1:36" ht="13.5" thickTop="1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G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G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G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G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G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G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G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G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G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G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G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G111" s="57"/>
      <c r="AH111" s="57"/>
      <c r="AI111" s="57"/>
      <c r="AJ111" s="57"/>
    </row>
  </sheetData>
  <pageMargins left="0.25" right="0.25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86E8-2A4C-4A8F-8C64-28A8ABBE5D32}">
  <sheetPr>
    <tabColor rgb="FF92D050"/>
  </sheetPr>
  <dimension ref="A1:AJ106"/>
  <sheetViews>
    <sheetView showGridLines="0" workbookViewId="0">
      <pane xSplit="2" ySplit="3" topLeftCell="G4" activePane="bottomRight" state="frozen"/>
      <selection activeCell="AG19" sqref="AG19"/>
      <selection pane="topRight" activeCell="AG19" sqref="AG19"/>
      <selection pane="bottomLeft" activeCell="AG19" sqref="AG19"/>
      <selection pane="bottomRight" activeCell="AG19" sqref="AG19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104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169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9" t="s">
        <v>136</v>
      </c>
      <c r="B6" s="60" t="s">
        <v>219</v>
      </c>
      <c r="C6" s="79">
        <v>197359.72</v>
      </c>
      <c r="D6" s="80"/>
      <c r="E6" s="79">
        <v>234874.74</v>
      </c>
      <c r="F6" s="80"/>
      <c r="G6" s="79">
        <v>233327.44</v>
      </c>
      <c r="H6" s="79"/>
      <c r="I6" s="79">
        <v>296650</v>
      </c>
      <c r="J6" s="79"/>
      <c r="K6" s="79">
        <v>296650</v>
      </c>
      <c r="L6" s="79"/>
      <c r="M6" s="79">
        <v>294299.09000000003</v>
      </c>
      <c r="N6" s="79"/>
      <c r="O6" s="79">
        <f>PRODUCT(M6,0/12)</f>
        <v>0</v>
      </c>
      <c r="P6" s="79"/>
      <c r="Q6" s="79">
        <f t="shared" ref="Q6:Q12" si="0">SUM(M6,O6)</f>
        <v>294299.09000000003</v>
      </c>
      <c r="R6" s="79"/>
      <c r="S6" s="79">
        <v>340000</v>
      </c>
      <c r="T6" s="79"/>
      <c r="U6" s="79">
        <v>340000</v>
      </c>
      <c r="V6" s="79"/>
      <c r="W6" s="79">
        <v>340000</v>
      </c>
      <c r="X6" s="79"/>
      <c r="Y6" s="79">
        <f t="shared" ref="Y6:Y12" si="1">SUM(W6,-I6)</f>
        <v>43350</v>
      </c>
      <c r="Z6" s="62"/>
      <c r="AA6" s="63">
        <f>IF(W6=0,"N/A",PRODUCT(Y6,1/I6))</f>
        <v>0.14613180515759314</v>
      </c>
      <c r="AB6" s="62"/>
      <c r="AC6" s="79">
        <f>SUM(W6,-Q6)</f>
        <v>45700.909999999974</v>
      </c>
      <c r="AD6" s="62"/>
      <c r="AE6" s="63">
        <f>IF(W6=0,"N/A",PRODUCT(AC6,1/Q6))</f>
        <v>0.15528729633516697</v>
      </c>
      <c r="AF6" s="57"/>
      <c r="AG6" s="57" t="s">
        <v>1015</v>
      </c>
      <c r="AH6" s="57"/>
      <c r="AI6" s="57"/>
      <c r="AJ6" s="57"/>
    </row>
    <row r="7" spans="1:36" x14ac:dyDescent="0.2">
      <c r="A7" s="55" t="s">
        <v>137</v>
      </c>
      <c r="B7" s="56" t="s">
        <v>220</v>
      </c>
      <c r="C7" s="77">
        <v>38135.17</v>
      </c>
      <c r="E7" s="77">
        <v>40342.15</v>
      </c>
      <c r="G7" s="77">
        <v>39717.26</v>
      </c>
      <c r="I7" s="77">
        <v>40000</v>
      </c>
      <c r="K7" s="77">
        <v>40000</v>
      </c>
      <c r="M7" s="77">
        <v>34322.639999999999</v>
      </c>
      <c r="O7" s="77">
        <f>PRODUCT(M7,0/12)</f>
        <v>0</v>
      </c>
      <c r="Q7" s="77">
        <f t="shared" si="0"/>
        <v>34322.639999999999</v>
      </c>
      <c r="S7" s="77">
        <v>40000</v>
      </c>
      <c r="U7" s="77">
        <v>40000</v>
      </c>
      <c r="W7" s="77">
        <v>40000</v>
      </c>
      <c r="Y7" s="77">
        <f t="shared" si="1"/>
        <v>0</v>
      </c>
      <c r="Z7" s="57"/>
      <c r="AA7" s="58">
        <f t="shared" ref="AA7:AA13" si="2">IF(W7=0,"N/A",PRODUCT(Y7,1/I7))</f>
        <v>0</v>
      </c>
      <c r="AB7" s="57"/>
      <c r="AC7" s="77">
        <f t="shared" ref="AC7:AC12" si="3">SUM(W7,-Q7)</f>
        <v>5677.3600000000006</v>
      </c>
      <c r="AD7" s="57"/>
      <c r="AE7" s="58">
        <f t="shared" ref="AE7:AE13" si="4">IF(W7=0,"N/A",PRODUCT(AC7,1/Q7))</f>
        <v>0.16541151846128388</v>
      </c>
      <c r="AF7" s="57"/>
      <c r="AG7" s="57"/>
      <c r="AH7" s="57"/>
      <c r="AI7" s="57"/>
      <c r="AJ7" s="57"/>
    </row>
    <row r="8" spans="1:36" x14ac:dyDescent="0.2">
      <c r="A8" s="59" t="s">
        <v>138</v>
      </c>
      <c r="B8" s="60" t="s">
        <v>286</v>
      </c>
      <c r="C8" s="79">
        <v>17263.599999999999</v>
      </c>
      <c r="D8" s="80"/>
      <c r="E8" s="79">
        <v>21373.63</v>
      </c>
      <c r="F8" s="80"/>
      <c r="G8" s="79">
        <v>20055.3</v>
      </c>
      <c r="H8" s="79"/>
      <c r="I8" s="79">
        <v>25800</v>
      </c>
      <c r="J8" s="79"/>
      <c r="K8" s="79">
        <v>25800</v>
      </c>
      <c r="L8" s="79"/>
      <c r="M8" s="79">
        <v>24252.400000000001</v>
      </c>
      <c r="N8" s="79"/>
      <c r="O8" s="79">
        <f>PRODUCT(M8,0/12)</f>
        <v>0</v>
      </c>
      <c r="P8" s="79"/>
      <c r="Q8" s="79">
        <f t="shared" si="0"/>
        <v>24252.400000000001</v>
      </c>
      <c r="R8" s="79"/>
      <c r="S8" s="79">
        <v>30000</v>
      </c>
      <c r="T8" s="79"/>
      <c r="U8" s="79">
        <v>29000</v>
      </c>
      <c r="V8" s="79"/>
      <c r="W8" s="79">
        <v>30000</v>
      </c>
      <c r="X8" s="79"/>
      <c r="Y8" s="79">
        <f t="shared" si="1"/>
        <v>4200</v>
      </c>
      <c r="Z8" s="62"/>
      <c r="AA8" s="63">
        <f t="shared" si="2"/>
        <v>0.16279069767441862</v>
      </c>
      <c r="AB8" s="62"/>
      <c r="AC8" s="79">
        <f t="shared" si="3"/>
        <v>5747.5999999999985</v>
      </c>
      <c r="AD8" s="62"/>
      <c r="AE8" s="63">
        <f t="shared" si="4"/>
        <v>0.23699097821246551</v>
      </c>
      <c r="AF8" s="57"/>
      <c r="AG8" s="57"/>
      <c r="AH8" s="57"/>
      <c r="AI8" s="57"/>
      <c r="AJ8" s="57"/>
    </row>
    <row r="9" spans="1:36" x14ac:dyDescent="0.2">
      <c r="A9" s="55" t="s">
        <v>139</v>
      </c>
      <c r="B9" s="56" t="s">
        <v>221</v>
      </c>
      <c r="C9" s="77">
        <v>44629.62</v>
      </c>
      <c r="E9" s="77">
        <v>56158.01</v>
      </c>
      <c r="G9" s="77">
        <v>54239.54</v>
      </c>
      <c r="I9" s="77">
        <v>65500</v>
      </c>
      <c r="K9" s="77">
        <v>65500</v>
      </c>
      <c r="M9" s="77">
        <v>55164.41</v>
      </c>
      <c r="O9" s="77">
        <f>PRODUCT(M9,0/12)</f>
        <v>0</v>
      </c>
      <c r="Q9" s="77">
        <f t="shared" si="0"/>
        <v>55164.41</v>
      </c>
      <c r="S9" s="77">
        <v>72500</v>
      </c>
      <c r="U9" s="77">
        <v>66000</v>
      </c>
      <c r="W9" s="77">
        <v>72500</v>
      </c>
      <c r="Y9" s="77">
        <f t="shared" si="1"/>
        <v>7000</v>
      </c>
      <c r="Z9" s="57"/>
      <c r="AA9" s="58">
        <f t="shared" si="2"/>
        <v>0.10687022900763359</v>
      </c>
      <c r="AB9" s="57"/>
      <c r="AC9" s="77">
        <f t="shared" si="3"/>
        <v>17335.589999999997</v>
      </c>
      <c r="AD9" s="57"/>
      <c r="AE9" s="58">
        <f t="shared" si="4"/>
        <v>0.31425315706267859</v>
      </c>
      <c r="AF9" s="57"/>
      <c r="AG9" s="57"/>
      <c r="AH9" s="57"/>
      <c r="AI9" s="57"/>
      <c r="AJ9" s="57"/>
    </row>
    <row r="10" spans="1:36" x14ac:dyDescent="0.2">
      <c r="A10" s="59" t="s">
        <v>140</v>
      </c>
      <c r="B10" s="60" t="s">
        <v>400</v>
      </c>
      <c r="C10" s="79">
        <v>10798.31</v>
      </c>
      <c r="D10" s="80"/>
      <c r="E10" s="79">
        <v>13291.46</v>
      </c>
      <c r="F10" s="80"/>
      <c r="G10" s="79">
        <v>14082.83</v>
      </c>
      <c r="H10" s="79"/>
      <c r="I10" s="79">
        <v>8000</v>
      </c>
      <c r="J10" s="79"/>
      <c r="K10" s="79">
        <v>8000</v>
      </c>
      <c r="L10" s="79"/>
      <c r="M10" s="79">
        <v>2868.08</v>
      </c>
      <c r="N10" s="79"/>
      <c r="O10" s="79">
        <v>0</v>
      </c>
      <c r="P10" s="79"/>
      <c r="Q10" s="79">
        <f t="shared" si="0"/>
        <v>2868.08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-8000</v>
      </c>
      <c r="Z10" s="62"/>
      <c r="AA10" s="63" t="str">
        <f t="shared" si="2"/>
        <v>N/A</v>
      </c>
      <c r="AB10" s="62"/>
      <c r="AC10" s="79">
        <f t="shared" si="3"/>
        <v>-2868.08</v>
      </c>
      <c r="AD10" s="62"/>
      <c r="AE10" s="63" t="str">
        <f t="shared" si="4"/>
        <v>N/A</v>
      </c>
      <c r="AF10" s="57"/>
      <c r="AG10" s="57"/>
      <c r="AH10" s="57"/>
      <c r="AI10" s="57"/>
      <c r="AJ10" s="57"/>
    </row>
    <row r="11" spans="1:36" x14ac:dyDescent="0.2">
      <c r="A11" s="55" t="s">
        <v>141</v>
      </c>
      <c r="B11" s="56" t="s">
        <v>401</v>
      </c>
      <c r="C11" s="77">
        <v>8067.6</v>
      </c>
      <c r="E11" s="77">
        <v>7716.02</v>
      </c>
      <c r="G11" s="77">
        <v>8434.5499999999993</v>
      </c>
      <c r="I11" s="77">
        <v>6000</v>
      </c>
      <c r="K11" s="77">
        <v>6000</v>
      </c>
      <c r="M11" s="77">
        <v>1336.55</v>
      </c>
      <c r="O11" s="77">
        <v>0</v>
      </c>
      <c r="Q11" s="77">
        <f t="shared" si="0"/>
        <v>1336.55</v>
      </c>
      <c r="S11" s="77">
        <v>0</v>
      </c>
      <c r="U11" s="77">
        <v>0</v>
      </c>
      <c r="W11" s="77">
        <v>0</v>
      </c>
      <c r="Y11" s="77">
        <f t="shared" si="1"/>
        <v>-6000</v>
      </c>
      <c r="Z11" s="57"/>
      <c r="AA11" s="58" t="str">
        <f t="shared" si="2"/>
        <v>N/A</v>
      </c>
      <c r="AB11" s="57"/>
      <c r="AC11" s="77">
        <f t="shared" si="3"/>
        <v>-1336.55</v>
      </c>
      <c r="AD11" s="57"/>
      <c r="AE11" s="58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A12" s="59" t="s">
        <v>142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21300</v>
      </c>
      <c r="J12" s="79"/>
      <c r="K12" s="79">
        <v>21300</v>
      </c>
      <c r="L12" s="79"/>
      <c r="M12" s="79">
        <v>21680.65</v>
      </c>
      <c r="N12" s="79"/>
      <c r="O12" s="79">
        <f>PRODUCT(M12,0/9)</f>
        <v>0</v>
      </c>
      <c r="P12" s="79"/>
      <c r="Q12" s="79">
        <f t="shared" si="0"/>
        <v>21680.65</v>
      </c>
      <c r="R12" s="79"/>
      <c r="S12" s="79">
        <v>35000</v>
      </c>
      <c r="T12" s="79"/>
      <c r="U12" s="79">
        <v>30000</v>
      </c>
      <c r="V12" s="79"/>
      <c r="W12" s="79">
        <v>35000</v>
      </c>
      <c r="X12" s="79"/>
      <c r="Y12" s="79">
        <f t="shared" si="1"/>
        <v>13700</v>
      </c>
      <c r="Z12" s="62"/>
      <c r="AA12" s="63">
        <f t="shared" si="2"/>
        <v>0.64319248826291076</v>
      </c>
      <c r="AB12" s="62"/>
      <c r="AC12" s="79">
        <f t="shared" si="3"/>
        <v>13319.349999999999</v>
      </c>
      <c r="AD12" s="62"/>
      <c r="AE12" s="63">
        <f t="shared" si="4"/>
        <v>0.61434274341405803</v>
      </c>
      <c r="AF12" s="57"/>
      <c r="AG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316254.02</v>
      </c>
      <c r="E13" s="81">
        <f>SUM(E6:E12)</f>
        <v>373756.01000000007</v>
      </c>
      <c r="G13" s="81">
        <f>SUM(G6:G12)</f>
        <v>369856.92</v>
      </c>
      <c r="I13" s="81">
        <f>SUM(I6:I12)</f>
        <v>463250</v>
      </c>
      <c r="K13" s="81">
        <f>SUM(K6:K12)</f>
        <v>463250</v>
      </c>
      <c r="M13" s="81">
        <f>SUM(M6:M12)</f>
        <v>433923.82000000007</v>
      </c>
      <c r="O13" s="81">
        <f>SUM(O6:O12)</f>
        <v>0</v>
      </c>
      <c r="Q13" s="81">
        <f>SUM(Q6:Q12)</f>
        <v>433923.82000000007</v>
      </c>
      <c r="S13" s="81">
        <f>SUM(S6:S12)</f>
        <v>517500</v>
      </c>
      <c r="U13" s="81">
        <f>SUM(U6:U12)</f>
        <v>505000</v>
      </c>
      <c r="W13" s="81">
        <f>SUM(W6:W12)</f>
        <v>517500</v>
      </c>
      <c r="Y13" s="81">
        <f>SUM(Y6:Y12)</f>
        <v>54250</v>
      </c>
      <c r="Z13" s="57"/>
      <c r="AA13" s="65">
        <f t="shared" si="2"/>
        <v>0.11710739341608203</v>
      </c>
      <c r="AB13" s="57"/>
      <c r="AC13" s="81">
        <f>SUM(AC6:AC12)</f>
        <v>83576.179999999964</v>
      </c>
      <c r="AD13" s="57"/>
      <c r="AE13" s="65">
        <f t="shared" si="4"/>
        <v>0.19260565137908298</v>
      </c>
      <c r="AF13" s="57"/>
      <c r="AG13" s="57"/>
      <c r="AH13" s="57"/>
      <c r="AI13" s="57"/>
      <c r="AJ13" s="57"/>
    </row>
    <row r="14" spans="1:36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A16" s="59" t="s">
        <v>143</v>
      </c>
      <c r="B16" s="60" t="s">
        <v>583</v>
      </c>
      <c r="C16" s="79">
        <v>16910.66</v>
      </c>
      <c r="D16" s="80"/>
      <c r="E16" s="79">
        <v>56588.76</v>
      </c>
      <c r="F16" s="80"/>
      <c r="G16" s="79">
        <v>83533.58</v>
      </c>
      <c r="H16" s="79"/>
      <c r="I16" s="79">
        <v>80000</v>
      </c>
      <c r="J16" s="79"/>
      <c r="K16" s="79">
        <v>80000</v>
      </c>
      <c r="L16" s="79"/>
      <c r="M16" s="79">
        <v>83415.27</v>
      </c>
      <c r="N16" s="79"/>
      <c r="O16" s="79">
        <f>PRODUCT(M16,0/12)</f>
        <v>0</v>
      </c>
      <c r="P16" s="79"/>
      <c r="Q16" s="79">
        <f>SUM(M16,O16)</f>
        <v>83415.27</v>
      </c>
      <c r="R16" s="79"/>
      <c r="S16" s="79">
        <v>85000</v>
      </c>
      <c r="T16" s="79"/>
      <c r="U16" s="79">
        <v>100000</v>
      </c>
      <c r="V16" s="79"/>
      <c r="W16" s="79">
        <v>85000</v>
      </c>
      <c r="X16" s="79"/>
      <c r="Y16" s="79">
        <f>SUM(W16,-I16)</f>
        <v>5000</v>
      </c>
      <c r="Z16" s="62"/>
      <c r="AA16" s="63">
        <f t="shared" ref="AA16:AA21" si="5">IF(W16=0,"N/A",PRODUCT(Y16,1/I16))</f>
        <v>6.25E-2</v>
      </c>
      <c r="AB16" s="62"/>
      <c r="AC16" s="79">
        <f>SUM(W16,-Q16)</f>
        <v>1584.7299999999959</v>
      </c>
      <c r="AD16" s="62"/>
      <c r="AE16" s="63">
        <f t="shared" ref="AE16:AE21" si="6">IF(W16=0,"N/A",PRODUCT(AC16,1/Q16))</f>
        <v>1.899808032749874E-2</v>
      </c>
      <c r="AF16" s="57"/>
      <c r="AG16" s="57" t="s">
        <v>1032</v>
      </c>
      <c r="AH16" s="57"/>
      <c r="AI16" s="57"/>
      <c r="AJ16" s="57"/>
    </row>
    <row r="17" spans="1:36" x14ac:dyDescent="0.2">
      <c r="A17" s="55" t="s">
        <v>144</v>
      </c>
      <c r="B17" s="56" t="s">
        <v>223</v>
      </c>
      <c r="C17" s="77">
        <v>7040</v>
      </c>
      <c r="E17" s="77">
        <v>993.75</v>
      </c>
      <c r="G17" s="77">
        <v>7914.54</v>
      </c>
      <c r="I17" s="77">
        <v>5000</v>
      </c>
      <c r="K17" s="77">
        <v>5000</v>
      </c>
      <c r="M17" s="77">
        <v>0</v>
      </c>
      <c r="O17" s="77">
        <f>PRODUCT(M17,0/12)</f>
        <v>0</v>
      </c>
      <c r="Q17" s="77">
        <f>SUM(M17,O17)</f>
        <v>0</v>
      </c>
      <c r="S17" s="77">
        <v>5000</v>
      </c>
      <c r="U17" s="77">
        <v>5000</v>
      </c>
      <c r="W17" s="77">
        <v>5000</v>
      </c>
      <c r="Y17" s="77">
        <f>SUM(W17,-I17)</f>
        <v>0</v>
      </c>
      <c r="Z17" s="57"/>
      <c r="AA17" s="58">
        <f t="shared" si="5"/>
        <v>0</v>
      </c>
      <c r="AB17" s="57"/>
      <c r="AC17" s="77">
        <f>SUM(W17,-Q17)</f>
        <v>5000</v>
      </c>
      <c r="AD17" s="57"/>
      <c r="AE17" s="58" t="e">
        <f t="shared" si="6"/>
        <v>#DIV/0!</v>
      </c>
      <c r="AF17" s="57"/>
      <c r="AG17" s="57"/>
      <c r="AH17" s="57"/>
      <c r="AI17" s="57"/>
      <c r="AJ17" s="57"/>
    </row>
    <row r="18" spans="1:36" x14ac:dyDescent="0.2">
      <c r="A18" s="59" t="s">
        <v>145</v>
      </c>
      <c r="B18" s="60" t="s">
        <v>579</v>
      </c>
      <c r="C18" s="79">
        <v>16138.01</v>
      </c>
      <c r="D18" s="80"/>
      <c r="E18" s="79">
        <v>9373.14</v>
      </c>
      <c r="F18" s="80"/>
      <c r="G18" s="79">
        <v>8895.33</v>
      </c>
      <c r="H18" s="79"/>
      <c r="I18" s="79">
        <v>12000</v>
      </c>
      <c r="J18" s="79"/>
      <c r="K18" s="79">
        <v>12000</v>
      </c>
      <c r="L18" s="79"/>
      <c r="M18" s="79">
        <v>14548.86</v>
      </c>
      <c r="N18" s="79"/>
      <c r="O18" s="79">
        <f>PRODUCT(M18,0/12)</f>
        <v>0</v>
      </c>
      <c r="P18" s="79"/>
      <c r="Q18" s="79">
        <f>SUM(M18,O18)</f>
        <v>14548.86</v>
      </c>
      <c r="R18" s="79"/>
      <c r="S18" s="79">
        <v>12000</v>
      </c>
      <c r="T18" s="79"/>
      <c r="U18" s="79">
        <v>12000</v>
      </c>
      <c r="V18" s="79"/>
      <c r="W18" s="79">
        <v>12000</v>
      </c>
      <c r="X18" s="79"/>
      <c r="Y18" s="79">
        <f>SUM(W18,-I18)</f>
        <v>0</v>
      </c>
      <c r="Z18" s="62"/>
      <c r="AA18" s="63">
        <f t="shared" si="5"/>
        <v>0</v>
      </c>
      <c r="AB18" s="62"/>
      <c r="AC18" s="79">
        <f>SUM(W18,-Q18)</f>
        <v>-2548.8600000000006</v>
      </c>
      <c r="AD18" s="62"/>
      <c r="AE18" s="63">
        <f t="shared" si="6"/>
        <v>-0.17519310791360979</v>
      </c>
      <c r="AF18" s="57"/>
      <c r="AG18" s="57"/>
      <c r="AH18" s="57"/>
      <c r="AI18" s="57"/>
      <c r="AJ18" s="57"/>
    </row>
    <row r="19" spans="1:36" x14ac:dyDescent="0.2">
      <c r="A19" s="55" t="s">
        <v>146</v>
      </c>
      <c r="B19" s="56" t="s">
        <v>325</v>
      </c>
      <c r="C19" s="77">
        <v>2221.56</v>
      </c>
      <c r="E19" s="77">
        <v>2619.4699999999998</v>
      </c>
      <c r="G19" s="77">
        <v>11386.04</v>
      </c>
      <c r="I19" s="77">
        <v>9000</v>
      </c>
      <c r="K19" s="77">
        <v>9000</v>
      </c>
      <c r="M19" s="77">
        <v>4724.2</v>
      </c>
      <c r="O19" s="77">
        <f>PRODUCT(M19,0/12)</f>
        <v>0</v>
      </c>
      <c r="Q19" s="77">
        <f>SUM(M19,O19)</f>
        <v>4724.2</v>
      </c>
      <c r="S19" s="77">
        <v>10000</v>
      </c>
      <c r="U19" s="77">
        <v>10000</v>
      </c>
      <c r="W19" s="77">
        <v>8500</v>
      </c>
      <c r="Y19" s="77">
        <f>SUM(W19,-I19)</f>
        <v>-500</v>
      </c>
      <c r="Z19" s="57"/>
      <c r="AA19" s="58">
        <f t="shared" si="5"/>
        <v>-5.5555555555555559E-2</v>
      </c>
      <c r="AB19" s="57"/>
      <c r="AC19" s="77">
        <f>SUM(W19,-Q19)</f>
        <v>3775.8</v>
      </c>
      <c r="AD19" s="57"/>
      <c r="AE19" s="58">
        <f t="shared" si="6"/>
        <v>0.79924643325854117</v>
      </c>
      <c r="AF19" s="57"/>
      <c r="AG19" s="57"/>
      <c r="AH19" s="57"/>
      <c r="AI19" s="57"/>
      <c r="AJ19" s="57"/>
    </row>
    <row r="20" spans="1:36" x14ac:dyDescent="0.2">
      <c r="A20" s="59" t="s">
        <v>147</v>
      </c>
      <c r="B20" s="60" t="s">
        <v>328</v>
      </c>
      <c r="C20" s="79">
        <v>6118.25</v>
      </c>
      <c r="D20" s="80"/>
      <c r="E20" s="79">
        <v>8669.4699999999993</v>
      </c>
      <c r="F20" s="80"/>
      <c r="G20" s="79">
        <v>15748.67</v>
      </c>
      <c r="H20" s="79"/>
      <c r="I20" s="79">
        <v>10000</v>
      </c>
      <c r="J20" s="79"/>
      <c r="K20" s="79">
        <v>10000</v>
      </c>
      <c r="L20" s="79"/>
      <c r="M20" s="79">
        <v>13736.69</v>
      </c>
      <c r="N20" s="79"/>
      <c r="O20" s="79">
        <f>PRODUCT(M20,0/12)</f>
        <v>0</v>
      </c>
      <c r="P20" s="79"/>
      <c r="Q20" s="79">
        <f>SUM(M20,O20)</f>
        <v>13736.69</v>
      </c>
      <c r="R20" s="79"/>
      <c r="S20" s="79">
        <v>12000</v>
      </c>
      <c r="T20" s="79"/>
      <c r="U20" s="79">
        <v>12000</v>
      </c>
      <c r="V20" s="79"/>
      <c r="W20" s="79">
        <v>12000</v>
      </c>
      <c r="X20" s="79"/>
      <c r="Y20" s="79">
        <f>SUM(W20,-I20)</f>
        <v>2000</v>
      </c>
      <c r="Z20" s="62"/>
      <c r="AA20" s="63">
        <f t="shared" si="5"/>
        <v>0.2</v>
      </c>
      <c r="AB20" s="62"/>
      <c r="AC20" s="79">
        <f>SUM(W20,-Q20)</f>
        <v>-1736.6900000000005</v>
      </c>
      <c r="AD20" s="62"/>
      <c r="AE20" s="63">
        <f t="shared" si="6"/>
        <v>-0.1264271087139624</v>
      </c>
      <c r="AF20" s="57"/>
      <c r="AG20" s="57"/>
      <c r="AH20" s="57"/>
      <c r="AI20" s="57"/>
      <c r="AJ20" s="57"/>
    </row>
    <row r="21" spans="1:36" x14ac:dyDescent="0.2">
      <c r="A21" s="64" t="s">
        <v>49</v>
      </c>
      <c r="C21" s="81">
        <f>SUM(C16:C20)</f>
        <v>48428.479999999996</v>
      </c>
      <c r="E21" s="81">
        <f>SUM(E16:E20)</f>
        <v>78244.59</v>
      </c>
      <c r="G21" s="81">
        <f>SUM(G16:G20)</f>
        <v>127478.15999999999</v>
      </c>
      <c r="I21" s="81">
        <f>SUM(I16:I20)</f>
        <v>116000</v>
      </c>
      <c r="K21" s="81">
        <f>SUM(K16:K20)</f>
        <v>116000</v>
      </c>
      <c r="M21" s="81">
        <f>SUM(M16:M20)</f>
        <v>116425.02</v>
      </c>
      <c r="O21" s="81">
        <f>SUM(O16:O20)</f>
        <v>0</v>
      </c>
      <c r="Q21" s="81">
        <f>SUM(Q16:Q20)</f>
        <v>116425.02</v>
      </c>
      <c r="S21" s="81">
        <f>SUM(S16:S20)</f>
        <v>124000</v>
      </c>
      <c r="U21" s="81">
        <f>SUM(U16:U20)</f>
        <v>139000</v>
      </c>
      <c r="W21" s="81">
        <f>SUM(W16:W20)</f>
        <v>122500</v>
      </c>
      <c r="Y21" s="81">
        <f>SUM(Y16:Y20)</f>
        <v>6500</v>
      </c>
      <c r="Z21" s="57"/>
      <c r="AA21" s="65">
        <f t="shared" si="5"/>
        <v>5.6034482758620691E-2</v>
      </c>
      <c r="AB21" s="57"/>
      <c r="AC21" s="81">
        <f>SUM(AC16:AC20)</f>
        <v>6074.979999999995</v>
      </c>
      <c r="AD21" s="57"/>
      <c r="AE21" s="65">
        <f t="shared" si="6"/>
        <v>5.2179333961033414E-2</v>
      </c>
      <c r="AF21" s="57"/>
      <c r="AG21" s="57"/>
      <c r="AH21" s="57"/>
      <c r="AI21" s="57"/>
      <c r="AJ21" s="57"/>
    </row>
    <row r="22" spans="1:36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x14ac:dyDescent="0.2">
      <c r="A23" s="54" t="s">
        <v>65</v>
      </c>
      <c r="Z23" s="57"/>
      <c r="AB23" s="57"/>
      <c r="AD23" s="57"/>
      <c r="AF23" s="57"/>
      <c r="AG23" s="57"/>
      <c r="AH23" s="57"/>
      <c r="AI23" s="57"/>
      <c r="AJ23" s="57"/>
    </row>
    <row r="24" spans="1:36" x14ac:dyDescent="0.2">
      <c r="A24" s="55" t="s">
        <v>148</v>
      </c>
      <c r="B24" s="56" t="s">
        <v>443</v>
      </c>
      <c r="C24" s="77">
        <v>8004.4</v>
      </c>
      <c r="E24" s="77">
        <v>1344.68</v>
      </c>
      <c r="G24" s="77">
        <v>5492.75</v>
      </c>
      <c r="I24" s="77">
        <v>7500</v>
      </c>
      <c r="K24" s="77">
        <v>7500</v>
      </c>
      <c r="M24" s="77">
        <v>3140.57</v>
      </c>
      <c r="O24" s="77">
        <f>PRODUCT(M24,0/12)</f>
        <v>0</v>
      </c>
      <c r="Q24" s="77">
        <f>SUM(M24,O24)</f>
        <v>3140.57</v>
      </c>
      <c r="S24" s="77">
        <v>6000</v>
      </c>
      <c r="U24" s="77">
        <v>6000</v>
      </c>
      <c r="W24" s="77">
        <v>7500</v>
      </c>
      <c r="Y24" s="77">
        <f>SUM(W24,-I24)</f>
        <v>0</v>
      </c>
      <c r="Z24" s="57"/>
      <c r="AA24" s="58">
        <f>IF(W24=0,"N/A",PRODUCT(Y24,1/I24))</f>
        <v>0</v>
      </c>
      <c r="AB24" s="57"/>
      <c r="AC24" s="77">
        <f>SUM(W24,-Q24)</f>
        <v>4359.43</v>
      </c>
      <c r="AD24" s="57"/>
      <c r="AE24" s="58">
        <f>IF(W24=0,"N/A",PRODUCT(AC24,1/Q24))</f>
        <v>1.3881015229719447</v>
      </c>
      <c r="AF24" s="57"/>
      <c r="AG24" s="57"/>
      <c r="AH24" s="57"/>
      <c r="AI24" s="57"/>
      <c r="AJ24" s="57"/>
    </row>
    <row r="25" spans="1:36" x14ac:dyDescent="0.2">
      <c r="A25" s="59" t="s">
        <v>1014</v>
      </c>
      <c r="B25" s="60" t="s">
        <v>600</v>
      </c>
      <c r="C25" s="79">
        <v>0</v>
      </c>
      <c r="D25" s="80"/>
      <c r="E25" s="79">
        <v>0</v>
      </c>
      <c r="F25" s="80"/>
      <c r="G25" s="79">
        <v>0</v>
      </c>
      <c r="H25" s="79"/>
      <c r="I25" s="79">
        <v>0</v>
      </c>
      <c r="J25" s="79"/>
      <c r="K25" s="79">
        <v>0</v>
      </c>
      <c r="L25" s="79"/>
      <c r="M25" s="79">
        <v>0</v>
      </c>
      <c r="N25" s="79"/>
      <c r="O25" s="79">
        <f>PRODUCT(M25,0/12)</f>
        <v>0</v>
      </c>
      <c r="P25" s="79"/>
      <c r="Q25" s="79">
        <f>SUM(M25,O25)</f>
        <v>0</v>
      </c>
      <c r="R25" s="79"/>
      <c r="S25" s="79">
        <v>0</v>
      </c>
      <c r="T25" s="79"/>
      <c r="U25" s="79">
        <v>75000</v>
      </c>
      <c r="V25" s="79"/>
      <c r="W25" s="79">
        <v>0</v>
      </c>
      <c r="X25" s="79"/>
      <c r="Y25" s="79">
        <f>SUM(W25,-I25)</f>
        <v>0</v>
      </c>
      <c r="Z25" s="62"/>
      <c r="AA25" s="63" t="str">
        <f>IF(W25=0,"N/A",PRODUCT(Y25,1/I25))</f>
        <v>N/A</v>
      </c>
      <c r="AB25" s="62"/>
      <c r="AC25" s="79">
        <f>SUM(W25,-Q25)</f>
        <v>0</v>
      </c>
      <c r="AD25" s="62"/>
      <c r="AE25" s="63" t="str">
        <f>IF(W25=0,"N/A",PRODUCT(AC25,1/Q25))</f>
        <v>N/A</v>
      </c>
      <c r="AF25" s="57"/>
      <c r="AG25" s="57"/>
      <c r="AH25" s="57"/>
      <c r="AI25" s="57"/>
      <c r="AJ25" s="57"/>
    </row>
    <row r="26" spans="1:36" x14ac:dyDescent="0.2">
      <c r="A26" s="55" t="s">
        <v>149</v>
      </c>
      <c r="B26" s="56" t="s">
        <v>580</v>
      </c>
      <c r="C26" s="77">
        <v>32730.53</v>
      </c>
      <c r="E26" s="77">
        <v>31725.27</v>
      </c>
      <c r="G26" s="77">
        <v>49754.45</v>
      </c>
      <c r="I26" s="77">
        <v>70000</v>
      </c>
      <c r="K26" s="77">
        <v>70000</v>
      </c>
      <c r="M26" s="77">
        <v>75085.86</v>
      </c>
      <c r="O26" s="77">
        <f>PRODUCT(M26,0/12)</f>
        <v>0</v>
      </c>
      <c r="Q26" s="77">
        <f>SUM(M26,O26)</f>
        <v>75085.86</v>
      </c>
      <c r="S26" s="77">
        <v>70000</v>
      </c>
      <c r="U26" s="77">
        <v>70000</v>
      </c>
      <c r="W26" s="77">
        <v>70000</v>
      </c>
      <c r="Y26" s="77">
        <f>SUM(W26,-I26)</f>
        <v>0</v>
      </c>
      <c r="Z26" s="57"/>
      <c r="AA26" s="58">
        <f>IF(W26=0,"N/A",PRODUCT(Y26,1/I26))</f>
        <v>0</v>
      </c>
      <c r="AB26" s="57"/>
      <c r="AC26" s="77">
        <f>SUM(W26,-Q26)</f>
        <v>-5085.8600000000006</v>
      </c>
      <c r="AD26" s="57"/>
      <c r="AE26" s="58">
        <f>IF(W26=0,"N/A",PRODUCT(AC26,1/Q26))</f>
        <v>-6.7733924869476089E-2</v>
      </c>
      <c r="AF26" s="57"/>
      <c r="AG26" s="57"/>
      <c r="AH26" s="57"/>
      <c r="AI26" s="57"/>
      <c r="AJ26" s="57"/>
    </row>
    <row r="27" spans="1:36" x14ac:dyDescent="0.2">
      <c r="A27" s="59" t="s">
        <v>150</v>
      </c>
      <c r="B27" s="60" t="s">
        <v>445</v>
      </c>
      <c r="C27" s="79">
        <v>8435.06</v>
      </c>
      <c r="D27" s="80"/>
      <c r="E27" s="79">
        <v>5325.83</v>
      </c>
      <c r="F27" s="80"/>
      <c r="G27" s="79">
        <v>3576.15</v>
      </c>
      <c r="H27" s="79"/>
      <c r="I27" s="79">
        <v>6500</v>
      </c>
      <c r="J27" s="79"/>
      <c r="K27" s="79">
        <v>6500</v>
      </c>
      <c r="L27" s="79"/>
      <c r="M27" s="79">
        <v>7664.89</v>
      </c>
      <c r="N27" s="79"/>
      <c r="O27" s="79">
        <f>PRODUCT(M27,0/12)</f>
        <v>0</v>
      </c>
      <c r="P27" s="79"/>
      <c r="Q27" s="79">
        <f>SUM(M27,O27)</f>
        <v>7664.89</v>
      </c>
      <c r="R27" s="79"/>
      <c r="S27" s="79">
        <v>6500</v>
      </c>
      <c r="T27" s="79"/>
      <c r="U27" s="79">
        <v>7500</v>
      </c>
      <c r="V27" s="79"/>
      <c r="W27" s="79">
        <v>7500</v>
      </c>
      <c r="X27" s="79"/>
      <c r="Y27" s="79">
        <f>SUM(W27,-I27)</f>
        <v>1000</v>
      </c>
      <c r="Z27" s="62"/>
      <c r="AA27" s="63">
        <f>IF(W27=0,"N/A",PRODUCT(Y27,1/I27))</f>
        <v>0.15384615384615385</v>
      </c>
      <c r="AB27" s="62"/>
      <c r="AC27" s="79">
        <f>SUM(W27,-Q27)</f>
        <v>-164.89000000000033</v>
      </c>
      <c r="AD27" s="62"/>
      <c r="AE27" s="63">
        <f>IF(W27=0,"N/A",PRODUCT(AC27,1/Q27))</f>
        <v>-2.1512376563786344E-2</v>
      </c>
      <c r="AF27" s="57"/>
      <c r="AG27" s="57"/>
      <c r="AH27" s="57"/>
      <c r="AI27" s="57"/>
      <c r="AJ27" s="57"/>
    </row>
    <row r="28" spans="1:36" x14ac:dyDescent="0.2">
      <c r="A28" s="64" t="s">
        <v>66</v>
      </c>
      <c r="C28" s="81">
        <f>SUM(C24:C27)</f>
        <v>49169.99</v>
      </c>
      <c r="E28" s="81">
        <f>SUM(E24:E27)</f>
        <v>38395.78</v>
      </c>
      <c r="G28" s="81">
        <f>SUM(G24:G27)</f>
        <v>58823.35</v>
      </c>
      <c r="I28" s="81">
        <f>SUM(I24:I27)</f>
        <v>84000</v>
      </c>
      <c r="K28" s="81">
        <f>SUM(K24:K27)</f>
        <v>84000</v>
      </c>
      <c r="M28" s="81">
        <f>SUM(M24:M27)</f>
        <v>85891.32</v>
      </c>
      <c r="O28" s="81">
        <f>SUM(O24:O27)</f>
        <v>0</v>
      </c>
      <c r="Q28" s="81">
        <f>SUM(Q24:Q27)</f>
        <v>85891.32</v>
      </c>
      <c r="S28" s="81">
        <f>SUM(S24:S27)</f>
        <v>82500</v>
      </c>
      <c r="U28" s="81">
        <f>SUM(U24:U27)</f>
        <v>158500</v>
      </c>
      <c r="W28" s="81">
        <f>SUM(W24:W27)</f>
        <v>85000</v>
      </c>
      <c r="Y28" s="81">
        <f>SUM(Y24:Y27)</f>
        <v>1000</v>
      </c>
      <c r="Z28" s="57"/>
      <c r="AA28" s="65">
        <f>IF(W28=0,"N/A",PRODUCT(Y28,1/I28))</f>
        <v>1.1904761904761906E-2</v>
      </c>
      <c r="AB28" s="57"/>
      <c r="AC28" s="81">
        <f>SUM(AC24:AC27)</f>
        <v>-891.32000000000062</v>
      </c>
      <c r="AD28" s="57"/>
      <c r="AE28" s="65">
        <f>IF(W28=0,"N/A",PRODUCT(AC28,1/Q28))</f>
        <v>-1.0377300057793972E-2</v>
      </c>
      <c r="AF28" s="57"/>
      <c r="AG28" s="57"/>
      <c r="AH28" s="57"/>
      <c r="AI28" s="57"/>
      <c r="AJ28" s="57"/>
    </row>
    <row r="29" spans="1:36" x14ac:dyDescent="0.2">
      <c r="Z29" s="57"/>
      <c r="AB29" s="57"/>
      <c r="AD29" s="57"/>
      <c r="AF29" s="57"/>
      <c r="AG29" s="57"/>
      <c r="AH29" s="57"/>
      <c r="AI29" s="57"/>
      <c r="AJ29" s="57"/>
    </row>
    <row r="30" spans="1:36" x14ac:dyDescent="0.2">
      <c r="A30" s="54" t="s">
        <v>69</v>
      </c>
      <c r="Z30" s="57"/>
      <c r="AB30" s="57"/>
      <c r="AD30" s="57"/>
      <c r="AF30" s="57"/>
      <c r="AG30" s="57"/>
      <c r="AH30" s="57"/>
      <c r="AI30" s="57"/>
      <c r="AJ30" s="57"/>
    </row>
    <row r="31" spans="1:36" x14ac:dyDescent="0.2">
      <c r="A31" s="59" t="s">
        <v>151</v>
      </c>
      <c r="B31" s="60" t="s">
        <v>226</v>
      </c>
      <c r="C31" s="79">
        <v>19493.509999999998</v>
      </c>
      <c r="D31" s="80"/>
      <c r="E31" s="79">
        <v>13830</v>
      </c>
      <c r="F31" s="80"/>
      <c r="G31" s="79">
        <v>4814.5600000000004</v>
      </c>
      <c r="H31" s="79"/>
      <c r="I31" s="79">
        <v>22000</v>
      </c>
      <c r="J31" s="79"/>
      <c r="K31" s="79">
        <v>22000</v>
      </c>
      <c r="L31" s="79"/>
      <c r="M31" s="79">
        <v>4157.6400000000003</v>
      </c>
      <c r="N31" s="79"/>
      <c r="O31" s="79">
        <f>PRODUCT(M31,0/12)</f>
        <v>0</v>
      </c>
      <c r="P31" s="79"/>
      <c r="Q31" s="79">
        <f>SUM(M31,O31)</f>
        <v>4157.6400000000003</v>
      </c>
      <c r="R31" s="79"/>
      <c r="S31" s="79">
        <v>12500</v>
      </c>
      <c r="T31" s="79"/>
      <c r="U31" s="79">
        <v>24000</v>
      </c>
      <c r="V31" s="79"/>
      <c r="W31" s="79">
        <v>24000</v>
      </c>
      <c r="X31" s="79"/>
      <c r="Y31" s="79">
        <f>SUM(W31,-I31)</f>
        <v>2000</v>
      </c>
      <c r="Z31" s="62"/>
      <c r="AA31" s="63">
        <f t="shared" ref="AA31:AA36" si="7">IF(W31=0,"N/A",PRODUCT(Y31,1/I31))</f>
        <v>9.0909090909090898E-2</v>
      </c>
      <c r="AB31" s="62"/>
      <c r="AC31" s="79">
        <f>SUM(W31,-Q31)</f>
        <v>19842.36</v>
      </c>
      <c r="AD31" s="62"/>
      <c r="AE31" s="63">
        <f t="shared" ref="AE31:AE36" si="8">IF(W31=0,"N/A",PRODUCT(AC31,1/Q31))</f>
        <v>4.772505556036597</v>
      </c>
      <c r="AF31" s="57"/>
      <c r="AG31" s="57" t="s">
        <v>1013</v>
      </c>
      <c r="AH31" s="57"/>
      <c r="AI31" s="57"/>
      <c r="AJ31" s="57"/>
    </row>
    <row r="32" spans="1:36" x14ac:dyDescent="0.2">
      <c r="A32" s="55" t="s">
        <v>152</v>
      </c>
      <c r="B32" s="56" t="s">
        <v>347</v>
      </c>
      <c r="C32" s="77">
        <v>1713.12</v>
      </c>
      <c r="E32" s="77">
        <v>1145.18</v>
      </c>
      <c r="G32" s="77">
        <v>1388.99</v>
      </c>
      <c r="I32" s="77">
        <v>1000</v>
      </c>
      <c r="K32" s="77">
        <v>1000</v>
      </c>
      <c r="M32" s="77">
        <v>9.65</v>
      </c>
      <c r="O32" s="77">
        <f>PRODUCT(M32,0/12)</f>
        <v>0</v>
      </c>
      <c r="Q32" s="77">
        <f>SUM(M32,O32)</f>
        <v>9.65</v>
      </c>
      <c r="S32" s="77">
        <v>2000</v>
      </c>
      <c r="U32" s="77">
        <v>2000</v>
      </c>
      <c r="W32" s="77">
        <v>1500</v>
      </c>
      <c r="Y32" s="77">
        <f>SUM(W32,-I32)</f>
        <v>500</v>
      </c>
      <c r="Z32" s="57"/>
      <c r="AA32" s="58">
        <f t="shared" si="7"/>
        <v>0.5</v>
      </c>
      <c r="AB32" s="57"/>
      <c r="AC32" s="77">
        <f>SUM(W32,-Q32)</f>
        <v>1490.35</v>
      </c>
      <c r="AD32" s="57"/>
      <c r="AE32" s="58">
        <f t="shared" si="8"/>
        <v>154.440414507772</v>
      </c>
      <c r="AF32" s="57"/>
      <c r="AG32" s="57"/>
      <c r="AH32" s="57"/>
      <c r="AI32" s="57"/>
      <c r="AJ32" s="57"/>
    </row>
    <row r="33" spans="1:36" x14ac:dyDescent="0.2">
      <c r="A33" s="59" t="s">
        <v>153</v>
      </c>
      <c r="B33" s="60" t="s">
        <v>582</v>
      </c>
      <c r="C33" s="79">
        <v>0</v>
      </c>
      <c r="D33" s="80"/>
      <c r="E33" s="79">
        <v>168.63</v>
      </c>
      <c r="F33" s="80"/>
      <c r="G33" s="79">
        <v>245.84</v>
      </c>
      <c r="H33" s="79"/>
      <c r="I33" s="79">
        <v>7000</v>
      </c>
      <c r="J33" s="79"/>
      <c r="K33" s="79">
        <v>7000</v>
      </c>
      <c r="L33" s="79"/>
      <c r="M33" s="79">
        <v>1119.72</v>
      </c>
      <c r="N33" s="79"/>
      <c r="O33" s="79">
        <f>PRODUCT(M33,0/12)</f>
        <v>0</v>
      </c>
      <c r="P33" s="79"/>
      <c r="Q33" s="79">
        <f>SUM(M33,O33)</f>
        <v>1119.72</v>
      </c>
      <c r="R33" s="79"/>
      <c r="S33" s="79">
        <v>2500</v>
      </c>
      <c r="T33" s="79"/>
      <c r="U33" s="79">
        <v>2500</v>
      </c>
      <c r="V33" s="79"/>
      <c r="W33" s="79">
        <v>2000</v>
      </c>
      <c r="X33" s="79"/>
      <c r="Y33" s="79">
        <f>SUM(W33,-I33)</f>
        <v>-5000</v>
      </c>
      <c r="Z33" s="62"/>
      <c r="AA33" s="63">
        <f t="shared" si="7"/>
        <v>-0.7142857142857143</v>
      </c>
      <c r="AB33" s="62"/>
      <c r="AC33" s="79">
        <f>SUM(W33,-Q33)</f>
        <v>880.28</v>
      </c>
      <c r="AD33" s="62"/>
      <c r="AE33" s="63">
        <f t="shared" si="8"/>
        <v>0.78616082592076586</v>
      </c>
      <c r="AF33" s="57"/>
      <c r="AG33" s="57"/>
      <c r="AH33" s="57"/>
      <c r="AI33" s="57"/>
      <c r="AJ33" s="57"/>
    </row>
    <row r="34" spans="1:36" x14ac:dyDescent="0.2">
      <c r="A34" s="55" t="s">
        <v>154</v>
      </c>
      <c r="B34" s="56" t="s">
        <v>450</v>
      </c>
      <c r="C34" s="77">
        <v>279.29000000000002</v>
      </c>
      <c r="E34" s="77">
        <v>290.11</v>
      </c>
      <c r="G34" s="77">
        <v>2621.12</v>
      </c>
      <c r="I34" s="77">
        <v>2500</v>
      </c>
      <c r="K34" s="77">
        <v>2500</v>
      </c>
      <c r="M34" s="77">
        <v>1623.06</v>
      </c>
      <c r="O34" s="77">
        <f>PRODUCT(M34,0/12)</f>
        <v>0</v>
      </c>
      <c r="Q34" s="77">
        <f>SUM(M34,O34)</f>
        <v>1623.06</v>
      </c>
      <c r="S34" s="77">
        <v>2500</v>
      </c>
      <c r="U34" s="77">
        <v>5000</v>
      </c>
      <c r="W34" s="77">
        <v>5000</v>
      </c>
      <c r="Y34" s="77">
        <f>SUM(W34,-I34)</f>
        <v>2500</v>
      </c>
      <c r="Z34" s="57"/>
      <c r="AA34" s="58">
        <f t="shared" si="7"/>
        <v>1</v>
      </c>
      <c r="AB34" s="57"/>
      <c r="AC34" s="77">
        <f>SUM(W34,-Q34)</f>
        <v>3376.94</v>
      </c>
      <c r="AD34" s="57"/>
      <c r="AE34" s="58">
        <f t="shared" si="8"/>
        <v>2.0806008403879095</v>
      </c>
      <c r="AF34" s="57"/>
      <c r="AG34" s="57" t="s">
        <v>1025</v>
      </c>
      <c r="AH34" s="57"/>
      <c r="AI34" s="57"/>
      <c r="AJ34" s="57"/>
    </row>
    <row r="35" spans="1:36" x14ac:dyDescent="0.2">
      <c r="A35" s="59" t="s">
        <v>155</v>
      </c>
      <c r="B35" s="60" t="s">
        <v>217</v>
      </c>
      <c r="C35" s="79">
        <v>1076.81</v>
      </c>
      <c r="D35" s="80"/>
      <c r="E35" s="79">
        <v>2291.0100000000002</v>
      </c>
      <c r="F35" s="80"/>
      <c r="G35" s="79">
        <v>2533.8000000000002</v>
      </c>
      <c r="H35" s="79"/>
      <c r="I35" s="79">
        <v>4500</v>
      </c>
      <c r="J35" s="79"/>
      <c r="K35" s="79">
        <v>4500</v>
      </c>
      <c r="L35" s="79"/>
      <c r="M35" s="79">
        <v>3912.72</v>
      </c>
      <c r="N35" s="79"/>
      <c r="O35" s="79">
        <f>PRODUCT(M35,0/12)</f>
        <v>0</v>
      </c>
      <c r="P35" s="79"/>
      <c r="Q35" s="79">
        <f>SUM(M35,O35)</f>
        <v>3912.72</v>
      </c>
      <c r="R35" s="79"/>
      <c r="S35" s="79">
        <v>3500</v>
      </c>
      <c r="T35" s="79"/>
      <c r="U35" s="79">
        <v>5500</v>
      </c>
      <c r="V35" s="79"/>
      <c r="W35" s="79">
        <v>5500</v>
      </c>
      <c r="X35" s="79"/>
      <c r="Y35" s="79">
        <f>SUM(W35,-I35)</f>
        <v>1000</v>
      </c>
      <c r="Z35" s="62"/>
      <c r="AA35" s="63">
        <f t="shared" si="7"/>
        <v>0.22222222222222224</v>
      </c>
      <c r="AB35" s="62"/>
      <c r="AC35" s="79">
        <f>SUM(W35,-Q35)</f>
        <v>1587.2800000000002</v>
      </c>
      <c r="AD35" s="62"/>
      <c r="AE35" s="63">
        <f t="shared" si="8"/>
        <v>0.40567175775419667</v>
      </c>
      <c r="AF35" s="57"/>
      <c r="AG35" s="57" t="s">
        <v>1026</v>
      </c>
      <c r="AH35" s="57"/>
      <c r="AI35" s="57"/>
      <c r="AJ35" s="57"/>
    </row>
    <row r="36" spans="1:36" x14ac:dyDescent="0.2">
      <c r="A36" s="64" t="s">
        <v>70</v>
      </c>
      <c r="C36" s="81">
        <f>SUM(C31:C35)</f>
        <v>22562.73</v>
      </c>
      <c r="E36" s="81">
        <f>SUM(E31:E35)</f>
        <v>17724.93</v>
      </c>
      <c r="F36" s="77"/>
      <c r="G36" s="81">
        <f>SUM(G31:G35)</f>
        <v>11604.310000000001</v>
      </c>
      <c r="I36" s="81">
        <f>SUM(I31:I35)</f>
        <v>37000</v>
      </c>
      <c r="K36" s="81">
        <f>SUM(K31:K35)</f>
        <v>37000</v>
      </c>
      <c r="M36" s="81">
        <f>SUM(M31:M35)</f>
        <v>10822.789999999999</v>
      </c>
      <c r="O36" s="81">
        <f>SUM(O31:O35)</f>
        <v>0</v>
      </c>
      <c r="Q36" s="81">
        <f>SUM(Q31:Q35)</f>
        <v>10822.789999999999</v>
      </c>
      <c r="S36" s="81">
        <f>SUM(S31:S35)</f>
        <v>23000</v>
      </c>
      <c r="U36" s="81">
        <f>SUM(U31:U35)</f>
        <v>39000</v>
      </c>
      <c r="W36" s="81">
        <f>SUM(W31:W35)</f>
        <v>38000</v>
      </c>
      <c r="Y36" s="81">
        <f>SUM(Y31:Y35)</f>
        <v>1000</v>
      </c>
      <c r="Z36" s="57"/>
      <c r="AA36" s="65">
        <f t="shared" si="7"/>
        <v>2.7027027027027025E-2</v>
      </c>
      <c r="AB36" s="57"/>
      <c r="AC36" s="81">
        <f>SUM(AC31:AC35)</f>
        <v>27177.209999999995</v>
      </c>
      <c r="AD36" s="57"/>
      <c r="AE36" s="65">
        <f t="shared" si="8"/>
        <v>2.5111094274212098</v>
      </c>
      <c r="AF36" s="57"/>
      <c r="AG36" s="57"/>
      <c r="AH36" s="57"/>
      <c r="AI36" s="57"/>
      <c r="AJ36" s="57"/>
    </row>
    <row r="37" spans="1:36" x14ac:dyDescent="0.2">
      <c r="Z37" s="57"/>
      <c r="AB37" s="57"/>
      <c r="AD37" s="57"/>
      <c r="AF37" s="57"/>
      <c r="AG37" s="57"/>
      <c r="AH37" s="57"/>
      <c r="AI37" s="57"/>
      <c r="AJ37" s="57"/>
    </row>
    <row r="38" spans="1:36" ht="13.5" thickBot="1" x14ac:dyDescent="0.25">
      <c r="A38" s="67" t="s">
        <v>170</v>
      </c>
      <c r="C38" s="83">
        <f>SUM(C13,C21,C28,C36)</f>
        <v>436415.22</v>
      </c>
      <c r="E38" s="83">
        <f>SUM(E13,E21,E28,E36)</f>
        <v>508121.31000000011</v>
      </c>
      <c r="G38" s="83">
        <f>SUM(G13,G21,G28,G36)</f>
        <v>567762.74</v>
      </c>
      <c r="I38" s="83">
        <f>SUM(I13,I21,I28,I36)</f>
        <v>700250</v>
      </c>
      <c r="K38" s="83">
        <f>SUM(K13,K21,K28,K36)</f>
        <v>700250</v>
      </c>
      <c r="M38" s="82">
        <f>SUM(M13,M21,M28,M36)</f>
        <v>647062.95000000019</v>
      </c>
      <c r="O38" s="82">
        <f>SUM(O13,O21,O28,O36)</f>
        <v>0</v>
      </c>
      <c r="Q38" s="83">
        <f>SUM(Q13,Q21,Q28,Q36)</f>
        <v>647062.95000000019</v>
      </c>
      <c r="S38" s="82">
        <f>SUM(S13,S21,S28,S36)</f>
        <v>747000</v>
      </c>
      <c r="U38" s="82">
        <f>SUM(U13,U21,U28,U36)</f>
        <v>841500</v>
      </c>
      <c r="W38" s="83">
        <f>SUM(W13,W21,W28,W36)</f>
        <v>763000</v>
      </c>
      <c r="Y38" s="82">
        <f>SUM(Y13,Y21,Y28,Y36)</f>
        <v>62750</v>
      </c>
      <c r="Z38" s="57"/>
      <c r="AA38" s="125">
        <f>IF(W38=0,"N/A",PRODUCT(Y38,1/I38))</f>
        <v>8.9610853266690466E-2</v>
      </c>
      <c r="AB38" s="57"/>
      <c r="AC38" s="82">
        <f>SUM(AC13,AC21,AC28,AC36)</f>
        <v>115937.04999999994</v>
      </c>
      <c r="AD38" s="57"/>
      <c r="AE38" s="125">
        <f>IF(W38=0,"N/A",PRODUCT(AC38,1/Q38))</f>
        <v>0.17917429826572501</v>
      </c>
      <c r="AF38" s="57"/>
      <c r="AG38" s="57"/>
      <c r="AH38" s="57"/>
      <c r="AI38" s="57"/>
      <c r="AJ38" s="57"/>
    </row>
    <row r="39" spans="1:36" ht="13.5" thickTop="1" x14ac:dyDescent="0.2">
      <c r="Z39" s="57"/>
      <c r="AB39" s="57"/>
      <c r="AD39" s="57"/>
      <c r="AF39" s="57"/>
      <c r="AG39" s="57"/>
      <c r="AH39" s="57"/>
      <c r="AI39" s="57"/>
      <c r="AJ39" s="57"/>
    </row>
    <row r="40" spans="1:36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G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G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G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G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G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G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G106" s="57"/>
      <c r="AH106" s="57"/>
      <c r="AI106" s="57"/>
      <c r="AJ106" s="57"/>
    </row>
  </sheetData>
  <pageMargins left="0.25" right="0.25" top="0.75" bottom="0.75" header="0.3" footer="0.3"/>
  <pageSetup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D375-E4D7-4E1B-A0EC-6D0BD097EE8E}">
  <sheetPr>
    <tabColor rgb="FF92D050"/>
  </sheetPr>
  <dimension ref="A1:AJ113"/>
  <sheetViews>
    <sheetView showGridLines="0" zoomScaleNormal="100" workbookViewId="0">
      <pane xSplit="2" ySplit="3" topLeftCell="G4" activePane="bottomRight" state="frozen"/>
      <selection activeCell="AG19" sqref="AG19"/>
      <selection pane="topRight" activeCell="AG19" sqref="AG19"/>
      <selection pane="bottomLeft" activeCell="AG19" sqref="AG19"/>
      <selection pane="bottomRight" activeCell="AG19" sqref="AG19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171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9" t="s">
        <v>156</v>
      </c>
      <c r="B6" s="60" t="s">
        <v>219</v>
      </c>
      <c r="C6" s="79">
        <v>274382.21999999997</v>
      </c>
      <c r="D6" s="80"/>
      <c r="E6" s="79">
        <v>276048.5</v>
      </c>
      <c r="F6" s="80"/>
      <c r="G6" s="79">
        <v>303903.96000000002</v>
      </c>
      <c r="H6" s="79"/>
      <c r="I6" s="79">
        <v>376950</v>
      </c>
      <c r="J6" s="79"/>
      <c r="K6" s="79">
        <v>376950</v>
      </c>
      <c r="L6" s="79"/>
      <c r="M6" s="79">
        <v>378869.24</v>
      </c>
      <c r="N6" s="79"/>
      <c r="O6" s="79">
        <f>PRODUCT(M6,0/12)</f>
        <v>0</v>
      </c>
      <c r="P6" s="79"/>
      <c r="Q6" s="79">
        <f t="shared" ref="Q6:Q12" si="0">SUM(M6,O6)</f>
        <v>378869.24</v>
      </c>
      <c r="R6" s="79"/>
      <c r="S6" s="79">
        <v>380000</v>
      </c>
      <c r="T6" s="79"/>
      <c r="U6" s="79">
        <v>382000</v>
      </c>
      <c r="V6" s="79"/>
      <c r="W6" s="79">
        <v>380000</v>
      </c>
      <c r="X6" s="79"/>
      <c r="Y6" s="79">
        <f>SUM(W6,-I6)</f>
        <v>3050</v>
      </c>
      <c r="Z6" s="62"/>
      <c r="AA6" s="63">
        <f>IF(W6=0,"N/A",PRODUCT(Y6,1/I6))</f>
        <v>8.0912587876376171E-3</v>
      </c>
      <c r="AB6" s="62"/>
      <c r="AC6" s="79">
        <f>SUM(W6,-Q6)</f>
        <v>1130.7600000000093</v>
      </c>
      <c r="AD6" s="62"/>
      <c r="AE6" s="63">
        <f>IF(W6=0,"N/A",PRODUCT(AC6,1/Q6))</f>
        <v>2.9845653344673993E-3</v>
      </c>
      <c r="AF6" s="57"/>
      <c r="AG6" s="57" t="s">
        <v>1034</v>
      </c>
      <c r="AH6" s="57"/>
      <c r="AI6" s="57"/>
      <c r="AJ6" s="57"/>
    </row>
    <row r="7" spans="1:36" x14ac:dyDescent="0.2">
      <c r="A7" s="55" t="s">
        <v>157</v>
      </c>
      <c r="B7" s="56" t="s">
        <v>220</v>
      </c>
      <c r="C7" s="77">
        <v>44005.89</v>
      </c>
      <c r="E7" s="77">
        <v>72360.03</v>
      </c>
      <c r="G7" s="77">
        <v>73029.100000000006</v>
      </c>
      <c r="I7" s="77">
        <v>55000</v>
      </c>
      <c r="K7" s="77">
        <v>55000</v>
      </c>
      <c r="M7" s="77">
        <v>83724.38</v>
      </c>
      <c r="O7" s="77">
        <f>PRODUCT(M7,0/12)</f>
        <v>0</v>
      </c>
      <c r="Q7" s="77">
        <f t="shared" si="0"/>
        <v>83724.38</v>
      </c>
      <c r="S7" s="77">
        <v>70000</v>
      </c>
      <c r="U7" s="77">
        <v>80000</v>
      </c>
      <c r="W7" s="77">
        <v>70000</v>
      </c>
      <c r="Y7" s="77">
        <f t="shared" ref="Y7:Y12" si="1">SUM(W7,-I7)</f>
        <v>15000</v>
      </c>
      <c r="Z7" s="57"/>
      <c r="AA7" s="58">
        <f t="shared" ref="AA7:AA13" si="2">IF(W7=0,"N/A",PRODUCT(Y7,1/I7))</f>
        <v>0.27272727272727271</v>
      </c>
      <c r="AB7" s="57"/>
      <c r="AC7" s="77">
        <f t="shared" ref="AC7:AC12" si="3">SUM(W7,-Q7)</f>
        <v>-13724.380000000005</v>
      </c>
      <c r="AD7" s="57"/>
      <c r="AE7" s="58">
        <f t="shared" ref="AE7:AE13" si="4">IF(W7=0,"N/A",PRODUCT(AC7,1/Q7))</f>
        <v>-0.16392333989215571</v>
      </c>
      <c r="AF7" s="57"/>
      <c r="AG7" s="57"/>
      <c r="AH7" s="57"/>
      <c r="AI7" s="57"/>
      <c r="AJ7" s="57"/>
    </row>
    <row r="8" spans="1:36" x14ac:dyDescent="0.2">
      <c r="A8" s="59" t="s">
        <v>158</v>
      </c>
      <c r="B8" s="60" t="s">
        <v>286</v>
      </c>
      <c r="C8" s="79">
        <v>22296.75</v>
      </c>
      <c r="D8" s="80"/>
      <c r="E8" s="79">
        <v>25654.37</v>
      </c>
      <c r="F8" s="80"/>
      <c r="G8" s="79">
        <v>27553.33</v>
      </c>
      <c r="H8" s="79"/>
      <c r="I8" s="79">
        <v>33050</v>
      </c>
      <c r="J8" s="79"/>
      <c r="K8" s="79">
        <v>33050</v>
      </c>
      <c r="L8" s="79"/>
      <c r="M8" s="79">
        <v>33056.699999999997</v>
      </c>
      <c r="N8" s="79"/>
      <c r="O8" s="79">
        <f>PRODUCT(M8,0/12)</f>
        <v>0</v>
      </c>
      <c r="P8" s="79"/>
      <c r="Q8" s="79">
        <f t="shared" si="0"/>
        <v>33056.699999999997</v>
      </c>
      <c r="R8" s="79"/>
      <c r="S8" s="79">
        <v>35000</v>
      </c>
      <c r="T8" s="79"/>
      <c r="U8" s="79">
        <v>35000</v>
      </c>
      <c r="V8" s="79"/>
      <c r="W8" s="79">
        <v>35000</v>
      </c>
      <c r="X8" s="79"/>
      <c r="Y8" s="79">
        <f t="shared" si="1"/>
        <v>1950</v>
      </c>
      <c r="Z8" s="62"/>
      <c r="AA8" s="63">
        <f t="shared" si="2"/>
        <v>5.9001512859304085E-2</v>
      </c>
      <c r="AB8" s="62"/>
      <c r="AC8" s="79">
        <f t="shared" si="3"/>
        <v>1943.3000000000029</v>
      </c>
      <c r="AD8" s="62"/>
      <c r="AE8" s="63">
        <f t="shared" si="4"/>
        <v>5.8786872252826299E-2</v>
      </c>
      <c r="AF8" s="57"/>
      <c r="AG8" s="57"/>
      <c r="AH8" s="57"/>
      <c r="AI8" s="57"/>
      <c r="AJ8" s="57"/>
    </row>
    <row r="9" spans="1:36" x14ac:dyDescent="0.2">
      <c r="A9" s="55" t="s">
        <v>159</v>
      </c>
      <c r="B9" s="56" t="s">
        <v>221</v>
      </c>
      <c r="C9" s="77">
        <v>80978.23</v>
      </c>
      <c r="E9" s="77">
        <v>81257.149999999994</v>
      </c>
      <c r="G9" s="77">
        <v>88234.57</v>
      </c>
      <c r="I9" s="77">
        <v>78000</v>
      </c>
      <c r="K9" s="77">
        <v>78000</v>
      </c>
      <c r="M9" s="77">
        <v>101716.57</v>
      </c>
      <c r="O9" s="77">
        <f>PRODUCT(M9,0/12)</f>
        <v>0</v>
      </c>
      <c r="Q9" s="77">
        <f t="shared" si="0"/>
        <v>101716.57</v>
      </c>
      <c r="S9" s="77">
        <v>120000</v>
      </c>
      <c r="U9" s="77">
        <v>110000</v>
      </c>
      <c r="W9" s="77">
        <v>120000</v>
      </c>
      <c r="Y9" s="77">
        <f t="shared" si="1"/>
        <v>42000</v>
      </c>
      <c r="Z9" s="57"/>
      <c r="AA9" s="58">
        <f t="shared" si="2"/>
        <v>0.53846153846153844</v>
      </c>
      <c r="AB9" s="57"/>
      <c r="AC9" s="77">
        <f t="shared" si="3"/>
        <v>18283.429999999993</v>
      </c>
      <c r="AD9" s="57"/>
      <c r="AE9" s="58">
        <f t="shared" si="4"/>
        <v>0.17974878625970175</v>
      </c>
      <c r="AF9" s="57"/>
      <c r="AG9" s="57" t="s">
        <v>1446</v>
      </c>
      <c r="AH9" s="57"/>
      <c r="AI9" s="57"/>
      <c r="AJ9" s="57"/>
    </row>
    <row r="10" spans="1:36" x14ac:dyDescent="0.2">
      <c r="A10" s="59" t="s">
        <v>160</v>
      </c>
      <c r="B10" s="60" t="s">
        <v>400</v>
      </c>
      <c r="C10" s="79">
        <v>14189.5</v>
      </c>
      <c r="D10" s="80"/>
      <c r="E10" s="79">
        <v>15523.93</v>
      </c>
      <c r="F10" s="80"/>
      <c r="G10" s="79">
        <v>16275.46</v>
      </c>
      <c r="H10" s="79"/>
      <c r="I10" s="79">
        <v>9700</v>
      </c>
      <c r="J10" s="79"/>
      <c r="K10" s="79">
        <v>9700</v>
      </c>
      <c r="L10" s="79"/>
      <c r="M10" s="79">
        <v>3679.28</v>
      </c>
      <c r="N10" s="79"/>
      <c r="O10" s="79">
        <v>0</v>
      </c>
      <c r="P10" s="79"/>
      <c r="Q10" s="79">
        <f t="shared" si="0"/>
        <v>3679.28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-9700</v>
      </c>
      <c r="Z10" s="62"/>
      <c r="AA10" s="63" t="str">
        <f t="shared" si="2"/>
        <v>N/A</v>
      </c>
      <c r="AB10" s="62"/>
      <c r="AC10" s="79">
        <f t="shared" si="3"/>
        <v>-3679.28</v>
      </c>
      <c r="AD10" s="62"/>
      <c r="AE10" s="63" t="str">
        <f t="shared" si="4"/>
        <v>N/A</v>
      </c>
      <c r="AF10" s="57"/>
      <c r="AG10" s="57"/>
      <c r="AH10" s="57"/>
      <c r="AI10" s="57"/>
      <c r="AJ10" s="57"/>
    </row>
    <row r="11" spans="1:36" x14ac:dyDescent="0.2">
      <c r="A11" s="55" t="s">
        <v>161</v>
      </c>
      <c r="B11" s="56" t="s">
        <v>401</v>
      </c>
      <c r="C11" s="77">
        <v>8590.49</v>
      </c>
      <c r="E11" s="77">
        <v>9270.61</v>
      </c>
      <c r="G11" s="77">
        <v>10067.86</v>
      </c>
      <c r="I11" s="77">
        <v>6800</v>
      </c>
      <c r="K11" s="77">
        <v>6800</v>
      </c>
      <c r="M11" s="77">
        <v>2046.2</v>
      </c>
      <c r="O11" s="77">
        <v>0</v>
      </c>
      <c r="Q11" s="77">
        <f t="shared" si="0"/>
        <v>2046.2</v>
      </c>
      <c r="S11" s="77">
        <v>0</v>
      </c>
      <c r="U11" s="77">
        <v>0</v>
      </c>
      <c r="W11" s="77">
        <v>0</v>
      </c>
      <c r="Y11" s="77">
        <f t="shared" si="1"/>
        <v>-6800</v>
      </c>
      <c r="Z11" s="57"/>
      <c r="AA11" s="58" t="str">
        <f t="shared" si="2"/>
        <v>N/A</v>
      </c>
      <c r="AB11" s="57"/>
      <c r="AC11" s="77">
        <f t="shared" si="3"/>
        <v>-2046.2</v>
      </c>
      <c r="AD11" s="57"/>
      <c r="AE11" s="58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A12" s="59" t="s">
        <v>162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27350</v>
      </c>
      <c r="J12" s="79"/>
      <c r="K12" s="79">
        <v>27350</v>
      </c>
      <c r="L12" s="79"/>
      <c r="M12" s="79">
        <v>30225.22</v>
      </c>
      <c r="N12" s="79"/>
      <c r="O12" s="79">
        <f>PRODUCT(M12,0/9)</f>
        <v>0</v>
      </c>
      <c r="P12" s="79"/>
      <c r="Q12" s="79">
        <f t="shared" si="0"/>
        <v>30225.22</v>
      </c>
      <c r="R12" s="79"/>
      <c r="S12" s="79">
        <v>42000</v>
      </c>
      <c r="T12" s="79"/>
      <c r="U12" s="79">
        <v>35000</v>
      </c>
      <c r="V12" s="79"/>
      <c r="W12" s="79">
        <v>42000</v>
      </c>
      <c r="X12" s="79"/>
      <c r="Y12" s="79">
        <f t="shared" si="1"/>
        <v>14650</v>
      </c>
      <c r="Z12" s="62"/>
      <c r="AA12" s="63">
        <f t="shared" si="2"/>
        <v>0.53564899451553938</v>
      </c>
      <c r="AB12" s="62"/>
      <c r="AC12" s="79">
        <f t="shared" si="3"/>
        <v>11774.779999999999</v>
      </c>
      <c r="AD12" s="62"/>
      <c r="AE12" s="63">
        <f t="shared" si="4"/>
        <v>0.38956804946332896</v>
      </c>
      <c r="AF12" s="57"/>
      <c r="AG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444443.07999999996</v>
      </c>
      <c r="E13" s="81">
        <f>SUM(E6:E12)</f>
        <v>480114.59</v>
      </c>
      <c r="G13" s="81">
        <f>SUM(G6:G12)</f>
        <v>519064.28000000009</v>
      </c>
      <c r="I13" s="81">
        <f>SUM(I6:I12)</f>
        <v>586850</v>
      </c>
      <c r="K13" s="81">
        <f>SUM(K6:K12)</f>
        <v>586850</v>
      </c>
      <c r="M13" s="81">
        <f>SUM(M6:M12)</f>
        <v>633317.59</v>
      </c>
      <c r="O13" s="81">
        <f>SUM(O6:O12)</f>
        <v>0</v>
      </c>
      <c r="Q13" s="81">
        <f>SUM(Q6:Q12)</f>
        <v>633317.59</v>
      </c>
      <c r="S13" s="81">
        <f>SUM(S6:S12)</f>
        <v>647000</v>
      </c>
      <c r="U13" s="81">
        <f>SUM(U6:U12)</f>
        <v>642000</v>
      </c>
      <c r="W13" s="81">
        <f>SUM(W6:W12)</f>
        <v>647000</v>
      </c>
      <c r="Y13" s="81">
        <f>SUM(Y6:Y12)</f>
        <v>60150</v>
      </c>
      <c r="Z13" s="57"/>
      <c r="AA13" s="65">
        <f t="shared" si="2"/>
        <v>0.10249637897248019</v>
      </c>
      <c r="AB13" s="57"/>
      <c r="AC13" s="81">
        <f>SUM(AC6:AC12)</f>
        <v>13682.41</v>
      </c>
      <c r="AD13" s="57"/>
      <c r="AE13" s="65">
        <f t="shared" si="4"/>
        <v>2.1604342301624689E-2</v>
      </c>
      <c r="AF13" s="57"/>
      <c r="AG13" s="57"/>
      <c r="AH13" s="57"/>
      <c r="AI13" s="57"/>
      <c r="AJ13" s="57"/>
    </row>
    <row r="14" spans="1:36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A16" s="55" t="s">
        <v>163</v>
      </c>
      <c r="B16" s="56" t="s">
        <v>598</v>
      </c>
      <c r="C16" s="77">
        <v>14467.33</v>
      </c>
      <c r="E16" s="77">
        <v>14794.13</v>
      </c>
      <c r="G16" s="77">
        <v>14294.89</v>
      </c>
      <c r="I16" s="77">
        <v>20000</v>
      </c>
      <c r="K16" s="77">
        <v>20000</v>
      </c>
      <c r="M16" s="77">
        <v>16704.95</v>
      </c>
      <c r="O16" s="77">
        <f t="shared" ref="O16:O21" si="5">PRODUCT(M16,0/12)</f>
        <v>0</v>
      </c>
      <c r="Q16" s="77">
        <f t="shared" ref="Q16:Q21" si="6">SUM(M16,O16)</f>
        <v>16704.95</v>
      </c>
      <c r="S16" s="77">
        <v>16000</v>
      </c>
      <c r="U16" s="77">
        <v>20000</v>
      </c>
      <c r="W16" s="77">
        <v>20000</v>
      </c>
      <c r="Y16" s="77">
        <f t="shared" ref="Y16:Y21" si="7">SUM(W16,-I16)</f>
        <v>0</v>
      </c>
      <c r="Z16" s="57"/>
      <c r="AA16" s="58">
        <f t="shared" ref="AA16:AA22" si="8">IF(W16=0,"N/A",PRODUCT(Y16,1/I16))</f>
        <v>0</v>
      </c>
      <c r="AB16" s="57"/>
      <c r="AC16" s="77">
        <f t="shared" ref="AC16:AC21" si="9">SUM(W16,-Q16)</f>
        <v>3295.0499999999993</v>
      </c>
      <c r="AD16" s="57"/>
      <c r="AE16" s="58">
        <f t="shared" ref="AE16:AE22" si="10">IF(W16=0,"N/A",PRODUCT(AC16,1/Q16))</f>
        <v>0.19724991694078697</v>
      </c>
      <c r="AF16" s="57"/>
      <c r="AG16" s="57"/>
      <c r="AH16" s="57"/>
      <c r="AI16" s="57"/>
      <c r="AJ16" s="57"/>
    </row>
    <row r="17" spans="1:36" x14ac:dyDescent="0.2">
      <c r="A17" s="59" t="s">
        <v>164</v>
      </c>
      <c r="B17" s="60" t="s">
        <v>223</v>
      </c>
      <c r="C17" s="79">
        <v>3330.25</v>
      </c>
      <c r="D17" s="80"/>
      <c r="E17" s="79">
        <v>34373.68</v>
      </c>
      <c r="F17" s="80"/>
      <c r="G17" s="79">
        <v>6207.8</v>
      </c>
      <c r="H17" s="79"/>
      <c r="I17" s="79">
        <v>12000</v>
      </c>
      <c r="J17" s="79"/>
      <c r="K17" s="79">
        <v>12000</v>
      </c>
      <c r="L17" s="79"/>
      <c r="M17" s="79">
        <v>8376.5</v>
      </c>
      <c r="N17" s="79"/>
      <c r="O17" s="79">
        <f t="shared" si="5"/>
        <v>0</v>
      </c>
      <c r="P17" s="79"/>
      <c r="Q17" s="79">
        <f t="shared" si="6"/>
        <v>8376.5</v>
      </c>
      <c r="R17" s="79"/>
      <c r="S17" s="79">
        <v>7500</v>
      </c>
      <c r="T17" s="79"/>
      <c r="U17" s="79">
        <v>12000</v>
      </c>
      <c r="V17" s="79"/>
      <c r="W17" s="79">
        <v>12000</v>
      </c>
      <c r="X17" s="79"/>
      <c r="Y17" s="79">
        <f t="shared" si="7"/>
        <v>0</v>
      </c>
      <c r="Z17" s="62"/>
      <c r="AA17" s="63">
        <f t="shared" si="8"/>
        <v>0</v>
      </c>
      <c r="AB17" s="62"/>
      <c r="AC17" s="79">
        <f t="shared" si="9"/>
        <v>3623.5</v>
      </c>
      <c r="AD17" s="62"/>
      <c r="AE17" s="63">
        <f t="shared" si="10"/>
        <v>0.43257923953918703</v>
      </c>
      <c r="AF17" s="57"/>
      <c r="AG17" s="57"/>
      <c r="AH17" s="57"/>
      <c r="AI17" s="57"/>
      <c r="AJ17" s="57"/>
    </row>
    <row r="18" spans="1:36" x14ac:dyDescent="0.2">
      <c r="A18" s="55" t="s">
        <v>165</v>
      </c>
      <c r="B18" s="56" t="s">
        <v>516</v>
      </c>
      <c r="C18" s="77">
        <v>259134.72</v>
      </c>
      <c r="E18" s="77">
        <v>317997.07</v>
      </c>
      <c r="G18" s="77">
        <v>0</v>
      </c>
      <c r="I18" s="77">
        <v>375000</v>
      </c>
      <c r="K18" s="77">
        <v>375000</v>
      </c>
      <c r="M18" s="77">
        <v>446406.25</v>
      </c>
      <c r="O18" s="77">
        <f t="shared" si="5"/>
        <v>0</v>
      </c>
      <c r="Q18" s="77">
        <f t="shared" si="6"/>
        <v>446406.25</v>
      </c>
      <c r="S18" s="77">
        <v>350000</v>
      </c>
      <c r="U18" s="77">
        <v>350000</v>
      </c>
      <c r="W18" s="77">
        <v>350000</v>
      </c>
      <c r="Y18" s="77">
        <f t="shared" si="7"/>
        <v>-25000</v>
      </c>
      <c r="Z18" s="57"/>
      <c r="AA18" s="58">
        <f t="shared" si="8"/>
        <v>-6.6666666666666666E-2</v>
      </c>
      <c r="AB18" s="57"/>
      <c r="AC18" s="77">
        <f t="shared" si="9"/>
        <v>-96406.25</v>
      </c>
      <c r="AD18" s="57"/>
      <c r="AE18" s="58">
        <f t="shared" si="10"/>
        <v>-0.21596079803990201</v>
      </c>
      <c r="AF18" s="57"/>
      <c r="AG18" s="57"/>
      <c r="AH18" s="57"/>
      <c r="AI18" s="57"/>
      <c r="AJ18" s="57"/>
    </row>
    <row r="19" spans="1:36" x14ac:dyDescent="0.2">
      <c r="A19" s="59" t="s">
        <v>166</v>
      </c>
      <c r="B19" s="60" t="s">
        <v>584</v>
      </c>
      <c r="C19" s="79">
        <v>15504</v>
      </c>
      <c r="D19" s="80"/>
      <c r="E19" s="79">
        <v>1984.38</v>
      </c>
      <c r="F19" s="80"/>
      <c r="G19" s="79">
        <v>0</v>
      </c>
      <c r="H19" s="79"/>
      <c r="I19" s="79">
        <v>0</v>
      </c>
      <c r="J19" s="79"/>
      <c r="K19" s="79"/>
      <c r="L19" s="79"/>
      <c r="M19" s="79">
        <v>0</v>
      </c>
      <c r="N19" s="79"/>
      <c r="O19" s="79">
        <f t="shared" si="5"/>
        <v>0</v>
      </c>
      <c r="P19" s="79"/>
      <c r="Q19" s="79">
        <f t="shared" si="6"/>
        <v>0</v>
      </c>
      <c r="R19" s="79"/>
      <c r="S19" s="79">
        <v>0</v>
      </c>
      <c r="T19" s="79"/>
      <c r="U19" s="79">
        <v>0</v>
      </c>
      <c r="V19" s="79"/>
      <c r="W19" s="79">
        <v>0</v>
      </c>
      <c r="X19" s="79"/>
      <c r="Y19" s="79">
        <f t="shared" si="7"/>
        <v>0</v>
      </c>
      <c r="Z19" s="62"/>
      <c r="AA19" s="63" t="str">
        <f t="shared" si="8"/>
        <v>N/A</v>
      </c>
      <c r="AB19" s="62"/>
      <c r="AC19" s="79">
        <f t="shared" si="9"/>
        <v>0</v>
      </c>
      <c r="AD19" s="62"/>
      <c r="AE19" s="63" t="str">
        <f t="shared" si="10"/>
        <v>N/A</v>
      </c>
      <c r="AF19" s="57"/>
      <c r="AG19" s="57" t="s">
        <v>1114</v>
      </c>
      <c r="AH19" s="57"/>
      <c r="AI19" s="57"/>
      <c r="AJ19" s="57"/>
    </row>
    <row r="20" spans="1:36" x14ac:dyDescent="0.2">
      <c r="A20" s="55" t="s">
        <v>167</v>
      </c>
      <c r="B20" s="56" t="s">
        <v>325</v>
      </c>
      <c r="C20" s="77">
        <v>22133.94</v>
      </c>
      <c r="E20" s="77">
        <v>25835.01</v>
      </c>
      <c r="G20" s="77">
        <v>30462.76</v>
      </c>
      <c r="I20" s="77">
        <v>32000</v>
      </c>
      <c r="K20" s="77">
        <v>32000</v>
      </c>
      <c r="M20" s="77">
        <v>30167.19</v>
      </c>
      <c r="O20" s="77">
        <f t="shared" si="5"/>
        <v>0</v>
      </c>
      <c r="Q20" s="77">
        <f t="shared" si="6"/>
        <v>30167.19</v>
      </c>
      <c r="S20" s="77">
        <v>32000</v>
      </c>
      <c r="U20" s="77">
        <v>35000</v>
      </c>
      <c r="W20" s="77">
        <v>35000</v>
      </c>
      <c r="Y20" s="77">
        <f t="shared" si="7"/>
        <v>3000</v>
      </c>
      <c r="Z20" s="57"/>
      <c r="AA20" s="58">
        <f t="shared" si="8"/>
        <v>9.375E-2</v>
      </c>
      <c r="AB20" s="57"/>
      <c r="AC20" s="77">
        <f t="shared" si="9"/>
        <v>4832.8100000000013</v>
      </c>
      <c r="AD20" s="57"/>
      <c r="AE20" s="58">
        <f t="shared" si="10"/>
        <v>0.16020086723357402</v>
      </c>
      <c r="AF20" s="57"/>
      <c r="AG20" s="57"/>
      <c r="AH20" s="57"/>
      <c r="AI20" s="57"/>
      <c r="AJ20" s="57"/>
    </row>
    <row r="21" spans="1:36" x14ac:dyDescent="0.2">
      <c r="A21" s="59" t="s">
        <v>168</v>
      </c>
      <c r="B21" s="60" t="s">
        <v>328</v>
      </c>
      <c r="C21" s="79">
        <v>10579.11</v>
      </c>
      <c r="D21" s="80"/>
      <c r="E21" s="79">
        <v>17143.79</v>
      </c>
      <c r="F21" s="80"/>
      <c r="G21" s="79">
        <v>26003.32</v>
      </c>
      <c r="H21" s="79"/>
      <c r="I21" s="79">
        <v>22000</v>
      </c>
      <c r="J21" s="79"/>
      <c r="K21" s="79">
        <v>22000</v>
      </c>
      <c r="L21" s="79"/>
      <c r="M21" s="79">
        <v>23642.69</v>
      </c>
      <c r="N21" s="79"/>
      <c r="O21" s="79">
        <f t="shared" si="5"/>
        <v>0</v>
      </c>
      <c r="P21" s="79"/>
      <c r="Q21" s="79">
        <f t="shared" si="6"/>
        <v>23642.69</v>
      </c>
      <c r="R21" s="79"/>
      <c r="S21" s="79">
        <v>24000</v>
      </c>
      <c r="T21" s="79"/>
      <c r="U21" s="79">
        <v>28000</v>
      </c>
      <c r="V21" s="79"/>
      <c r="W21" s="79">
        <v>28000</v>
      </c>
      <c r="X21" s="79"/>
      <c r="Y21" s="79">
        <f t="shared" si="7"/>
        <v>6000</v>
      </c>
      <c r="Z21" s="62"/>
      <c r="AA21" s="63">
        <f t="shared" si="8"/>
        <v>0.27272727272727271</v>
      </c>
      <c r="AB21" s="62"/>
      <c r="AC21" s="79">
        <f t="shared" si="9"/>
        <v>4357.3100000000013</v>
      </c>
      <c r="AD21" s="62"/>
      <c r="AE21" s="63">
        <f t="shared" si="10"/>
        <v>0.18429840259293681</v>
      </c>
      <c r="AF21" s="57"/>
      <c r="AG21" s="57"/>
      <c r="AH21" s="57"/>
      <c r="AI21" s="57"/>
      <c r="AJ21" s="57"/>
    </row>
    <row r="22" spans="1:36" x14ac:dyDescent="0.2">
      <c r="A22" s="64" t="s">
        <v>49</v>
      </c>
      <c r="C22" s="81">
        <f>SUM(C16:C21)</f>
        <v>325149.34999999998</v>
      </c>
      <c r="E22" s="81">
        <f>SUM(E16:E21)</f>
        <v>412128.06</v>
      </c>
      <c r="G22" s="81">
        <f>SUM(G16:G21)</f>
        <v>76968.76999999999</v>
      </c>
      <c r="I22" s="81">
        <f>SUM(I16:I21)</f>
        <v>461000</v>
      </c>
      <c r="K22" s="81">
        <f>SUM(K16:K21)</f>
        <v>461000</v>
      </c>
      <c r="M22" s="81">
        <f>SUM(M16:M21)</f>
        <v>525297.57999999996</v>
      </c>
      <c r="O22" s="81">
        <f>SUM(O16:O21)</f>
        <v>0</v>
      </c>
      <c r="Q22" s="81">
        <f>SUM(Q16:Q21)</f>
        <v>525297.57999999996</v>
      </c>
      <c r="S22" s="81">
        <f>SUM(S16:S21)</f>
        <v>429500</v>
      </c>
      <c r="U22" s="81">
        <f>SUM(U16:U21)</f>
        <v>445000</v>
      </c>
      <c r="W22" s="81">
        <f>SUM(W16:W21)</f>
        <v>445000</v>
      </c>
      <c r="Y22" s="81">
        <f>SUM(Y16:Y21)</f>
        <v>-16000</v>
      </c>
      <c r="Z22" s="57"/>
      <c r="AA22" s="65">
        <f t="shared" si="8"/>
        <v>-3.4707158351409979E-2</v>
      </c>
      <c r="AB22" s="57"/>
      <c r="AC22" s="81">
        <f>SUM(AC16:AC21)</f>
        <v>-80297.58</v>
      </c>
      <c r="AD22" s="57"/>
      <c r="AE22" s="65">
        <f t="shared" si="10"/>
        <v>-0.15286112683024355</v>
      </c>
      <c r="AF22" s="57"/>
      <c r="AG22" s="57"/>
      <c r="AH22" s="57"/>
      <c r="AI22" s="57"/>
      <c r="AJ22" s="57"/>
    </row>
    <row r="23" spans="1:36" x14ac:dyDescent="0.2">
      <c r="Z23" s="57"/>
      <c r="AB23" s="57"/>
      <c r="AD23" s="57"/>
      <c r="AF23" s="57"/>
      <c r="AG23" s="57"/>
      <c r="AH23" s="57"/>
      <c r="AI23" s="57"/>
      <c r="AJ23" s="57"/>
    </row>
    <row r="24" spans="1:36" x14ac:dyDescent="0.2">
      <c r="A24" s="54" t="s">
        <v>65</v>
      </c>
      <c r="Z24" s="57"/>
      <c r="AB24" s="57"/>
      <c r="AD24" s="57"/>
      <c r="AF24" s="57"/>
      <c r="AG24" s="57"/>
      <c r="AH24" s="57"/>
      <c r="AI24" s="57"/>
      <c r="AJ24" s="57"/>
    </row>
    <row r="25" spans="1:36" x14ac:dyDescent="0.2">
      <c r="A25" s="55" t="s">
        <v>1037</v>
      </c>
      <c r="B25" s="56" t="s">
        <v>342</v>
      </c>
      <c r="C25" s="77">
        <v>0</v>
      </c>
      <c r="E25" s="77">
        <v>0</v>
      </c>
      <c r="G25" s="77">
        <v>0</v>
      </c>
      <c r="I25" s="77">
        <v>0</v>
      </c>
      <c r="K25" s="77">
        <v>0</v>
      </c>
      <c r="M25" s="77">
        <v>0</v>
      </c>
      <c r="O25" s="77">
        <f t="shared" ref="O25:O32" si="11">PRODUCT(M25,0/12)</f>
        <v>0</v>
      </c>
      <c r="Q25" s="77">
        <f t="shared" ref="Q25:Q32" si="12">SUM(M25,O25)</f>
        <v>0</v>
      </c>
      <c r="S25" s="77">
        <v>0</v>
      </c>
      <c r="U25" s="77">
        <v>15000</v>
      </c>
      <c r="W25" s="77">
        <v>15000</v>
      </c>
      <c r="Y25" s="77">
        <f t="shared" ref="Y25:Y32" si="13">SUM(W25,-I25)</f>
        <v>15000</v>
      </c>
      <c r="Z25" s="57"/>
      <c r="AA25" s="58" t="e">
        <f t="shared" ref="AA25:AA33" si="14">IF(W25=0,"N/A",PRODUCT(Y25,1/I25))</f>
        <v>#DIV/0!</v>
      </c>
      <c r="AB25" s="57"/>
      <c r="AC25" s="77">
        <f t="shared" ref="AC25:AC32" si="15">SUM(W25,-Q25)</f>
        <v>15000</v>
      </c>
      <c r="AD25" s="57"/>
      <c r="AE25" s="58" t="e">
        <f t="shared" ref="AE25:AE33" si="16">IF(W25=0,"N/A",PRODUCT(AC25,1/Q25))</f>
        <v>#DIV/0!</v>
      </c>
      <c r="AF25" s="57"/>
      <c r="AG25" s="57" t="s">
        <v>1039</v>
      </c>
      <c r="AH25" s="57"/>
      <c r="AI25" s="57"/>
      <c r="AJ25" s="57"/>
    </row>
    <row r="26" spans="1:36" x14ac:dyDescent="0.2">
      <c r="A26" s="59" t="s">
        <v>173</v>
      </c>
      <c r="B26" s="60" t="s">
        <v>443</v>
      </c>
      <c r="C26" s="79">
        <v>13446.51</v>
      </c>
      <c r="D26" s="80"/>
      <c r="E26" s="79">
        <v>13144.93</v>
      </c>
      <c r="F26" s="80"/>
      <c r="G26" s="79">
        <v>15118.7</v>
      </c>
      <c r="H26" s="79"/>
      <c r="I26" s="79">
        <v>20000</v>
      </c>
      <c r="J26" s="79"/>
      <c r="K26" s="79">
        <v>20000</v>
      </c>
      <c r="L26" s="79"/>
      <c r="M26" s="79">
        <v>7505.88</v>
      </c>
      <c r="N26" s="79"/>
      <c r="O26" s="79">
        <f t="shared" si="11"/>
        <v>0</v>
      </c>
      <c r="P26" s="79"/>
      <c r="Q26" s="79">
        <f t="shared" si="12"/>
        <v>7505.88</v>
      </c>
      <c r="R26" s="79"/>
      <c r="S26" s="79">
        <v>17500</v>
      </c>
      <c r="T26" s="79"/>
      <c r="U26" s="79">
        <v>20000</v>
      </c>
      <c r="V26" s="79"/>
      <c r="W26" s="79">
        <v>20000</v>
      </c>
      <c r="X26" s="79"/>
      <c r="Y26" s="79">
        <f t="shared" si="13"/>
        <v>0</v>
      </c>
      <c r="Z26" s="62"/>
      <c r="AA26" s="63">
        <f t="shared" si="14"/>
        <v>0</v>
      </c>
      <c r="AB26" s="62"/>
      <c r="AC26" s="79">
        <f t="shared" si="15"/>
        <v>12494.119999999999</v>
      </c>
      <c r="AD26" s="62"/>
      <c r="AE26" s="63">
        <f t="shared" si="16"/>
        <v>1.6645776377986323</v>
      </c>
      <c r="AF26" s="57"/>
      <c r="AG26" s="57"/>
      <c r="AH26" s="57"/>
      <c r="AI26" s="57"/>
      <c r="AJ26" s="57"/>
    </row>
    <row r="27" spans="1:36" x14ac:dyDescent="0.2">
      <c r="A27" s="55" t="s">
        <v>174</v>
      </c>
      <c r="B27" s="56" t="s">
        <v>585</v>
      </c>
      <c r="C27" s="77">
        <v>106847.47</v>
      </c>
      <c r="E27" s="77">
        <v>114940.32</v>
      </c>
      <c r="G27" s="77">
        <v>108240.81</v>
      </c>
      <c r="I27" s="77">
        <v>125000</v>
      </c>
      <c r="K27" s="77">
        <v>125000</v>
      </c>
      <c r="M27" s="77">
        <v>85861.98</v>
      </c>
      <c r="O27" s="77">
        <f t="shared" si="11"/>
        <v>0</v>
      </c>
      <c r="Q27" s="77">
        <f t="shared" si="12"/>
        <v>85861.98</v>
      </c>
      <c r="S27" s="77">
        <v>125000</v>
      </c>
      <c r="U27" s="77">
        <v>75000</v>
      </c>
      <c r="W27" s="77">
        <v>75000</v>
      </c>
      <c r="Y27" s="77">
        <f t="shared" si="13"/>
        <v>-50000</v>
      </c>
      <c r="Z27" s="57"/>
      <c r="AA27" s="58">
        <f t="shared" si="14"/>
        <v>-0.39999999999999997</v>
      </c>
      <c r="AB27" s="57"/>
      <c r="AC27" s="77">
        <f t="shared" si="15"/>
        <v>-10861.979999999996</v>
      </c>
      <c r="AD27" s="57"/>
      <c r="AE27" s="58">
        <f t="shared" si="16"/>
        <v>-0.1265051190294004</v>
      </c>
      <c r="AF27" s="57"/>
      <c r="AG27" s="57" t="s">
        <v>1043</v>
      </c>
      <c r="AH27" s="57"/>
      <c r="AI27" s="57"/>
      <c r="AJ27" s="57"/>
    </row>
    <row r="28" spans="1:36" x14ac:dyDescent="0.2">
      <c r="A28" s="59" t="s">
        <v>175</v>
      </c>
      <c r="B28" s="60" t="s">
        <v>229</v>
      </c>
      <c r="C28" s="79">
        <v>195919.9</v>
      </c>
      <c r="D28" s="80"/>
      <c r="E28" s="79">
        <v>421413.66</v>
      </c>
      <c r="F28" s="80"/>
      <c r="G28" s="79">
        <v>633773.11</v>
      </c>
      <c r="H28" s="79"/>
      <c r="I28" s="79">
        <v>500000</v>
      </c>
      <c r="J28" s="79"/>
      <c r="K28" s="79">
        <v>500000</v>
      </c>
      <c r="L28" s="79"/>
      <c r="M28" s="79">
        <v>949299.88</v>
      </c>
      <c r="N28" s="79"/>
      <c r="O28" s="79">
        <f t="shared" si="11"/>
        <v>0</v>
      </c>
      <c r="P28" s="79"/>
      <c r="Q28" s="79">
        <f t="shared" si="12"/>
        <v>949299.88</v>
      </c>
      <c r="R28" s="79"/>
      <c r="S28" s="79">
        <v>525000</v>
      </c>
      <c r="T28" s="79"/>
      <c r="U28" s="79">
        <v>550000</v>
      </c>
      <c r="V28" s="79"/>
      <c r="W28" s="79">
        <v>550000</v>
      </c>
      <c r="X28" s="79"/>
      <c r="Y28" s="79">
        <f t="shared" si="13"/>
        <v>50000</v>
      </c>
      <c r="Z28" s="62"/>
      <c r="AA28" s="63">
        <f t="shared" si="14"/>
        <v>9.9999999999999992E-2</v>
      </c>
      <c r="AB28" s="62"/>
      <c r="AC28" s="79">
        <f t="shared" si="15"/>
        <v>-399299.88</v>
      </c>
      <c r="AD28" s="62"/>
      <c r="AE28" s="63">
        <f t="shared" si="16"/>
        <v>-0.42062565097975152</v>
      </c>
      <c r="AF28" s="57"/>
      <c r="AG28" s="57" t="s">
        <v>1035</v>
      </c>
      <c r="AH28" s="57"/>
      <c r="AI28" s="57"/>
      <c r="AJ28" s="57"/>
    </row>
    <row r="29" spans="1:36" x14ac:dyDescent="0.2">
      <c r="A29" s="55" t="s">
        <v>1041</v>
      </c>
      <c r="B29" s="56" t="s">
        <v>1040</v>
      </c>
      <c r="C29" s="77">
        <v>0</v>
      </c>
      <c r="E29" s="77">
        <v>0</v>
      </c>
      <c r="G29" s="77">
        <v>0</v>
      </c>
      <c r="I29" s="77">
        <v>0</v>
      </c>
      <c r="K29" s="77">
        <v>0</v>
      </c>
      <c r="M29" s="77">
        <v>0</v>
      </c>
      <c r="O29" s="77">
        <f t="shared" si="11"/>
        <v>0</v>
      </c>
      <c r="Q29" s="77">
        <f t="shared" si="12"/>
        <v>0</v>
      </c>
      <c r="S29" s="77">
        <v>0</v>
      </c>
      <c r="U29" s="77">
        <v>60000</v>
      </c>
      <c r="W29" s="77">
        <v>60000</v>
      </c>
      <c r="Y29" s="77">
        <f t="shared" si="13"/>
        <v>60000</v>
      </c>
      <c r="Z29" s="57"/>
      <c r="AA29" s="58" t="e">
        <f t="shared" si="14"/>
        <v>#DIV/0!</v>
      </c>
      <c r="AB29" s="57"/>
      <c r="AC29" s="77">
        <f t="shared" si="15"/>
        <v>60000</v>
      </c>
      <c r="AD29" s="57"/>
      <c r="AE29" s="58" t="e">
        <f t="shared" si="16"/>
        <v>#DIV/0!</v>
      </c>
      <c r="AF29" s="57"/>
      <c r="AG29" s="57" t="s">
        <v>1042</v>
      </c>
      <c r="AH29" s="57"/>
      <c r="AI29" s="57"/>
      <c r="AJ29" s="57"/>
    </row>
    <row r="30" spans="1:36" x14ac:dyDescent="0.2">
      <c r="A30" s="59" t="s">
        <v>1038</v>
      </c>
      <c r="B30" s="60" t="s">
        <v>343</v>
      </c>
      <c r="C30" s="79">
        <v>0</v>
      </c>
      <c r="D30" s="80"/>
      <c r="E30" s="79">
        <v>0</v>
      </c>
      <c r="F30" s="80"/>
      <c r="G30" s="79">
        <v>0</v>
      </c>
      <c r="H30" s="79"/>
      <c r="I30" s="79">
        <v>0</v>
      </c>
      <c r="J30" s="79"/>
      <c r="K30" s="79">
        <v>0</v>
      </c>
      <c r="L30" s="79"/>
      <c r="M30" s="79">
        <v>0</v>
      </c>
      <c r="N30" s="79"/>
      <c r="O30" s="79">
        <f t="shared" si="11"/>
        <v>0</v>
      </c>
      <c r="P30" s="79"/>
      <c r="Q30" s="79">
        <f t="shared" si="12"/>
        <v>0</v>
      </c>
      <c r="R30" s="79"/>
      <c r="S30" s="79">
        <v>0</v>
      </c>
      <c r="T30" s="79"/>
      <c r="U30" s="79">
        <v>12500</v>
      </c>
      <c r="V30" s="79"/>
      <c r="W30" s="79">
        <v>12500</v>
      </c>
      <c r="X30" s="79"/>
      <c r="Y30" s="79">
        <f t="shared" si="13"/>
        <v>12500</v>
      </c>
      <c r="Z30" s="62"/>
      <c r="AA30" s="63" t="e">
        <f t="shared" si="14"/>
        <v>#DIV/0!</v>
      </c>
      <c r="AB30" s="62"/>
      <c r="AC30" s="79">
        <f t="shared" si="15"/>
        <v>12500</v>
      </c>
      <c r="AD30" s="62"/>
      <c r="AE30" s="63" t="e">
        <f t="shared" si="16"/>
        <v>#DIV/0!</v>
      </c>
      <c r="AF30" s="57"/>
      <c r="AG30" s="57" t="s">
        <v>1039</v>
      </c>
      <c r="AH30" s="57"/>
      <c r="AI30" s="57"/>
      <c r="AJ30" s="57"/>
    </row>
    <row r="31" spans="1:36" x14ac:dyDescent="0.2">
      <c r="A31" s="55" t="s">
        <v>176</v>
      </c>
      <c r="B31" s="56" t="s">
        <v>600</v>
      </c>
      <c r="C31" s="77">
        <v>40962.870000000003</v>
      </c>
      <c r="E31" s="77">
        <v>10076.790000000001</v>
      </c>
      <c r="G31" s="77">
        <v>49528.99</v>
      </c>
      <c r="I31" s="77">
        <v>75000</v>
      </c>
      <c r="K31" s="77">
        <v>75000</v>
      </c>
      <c r="M31" s="77">
        <v>37656.36</v>
      </c>
      <c r="O31" s="77">
        <f t="shared" si="11"/>
        <v>0</v>
      </c>
      <c r="Q31" s="77">
        <f t="shared" si="12"/>
        <v>37656.36</v>
      </c>
      <c r="S31" s="77">
        <v>75000</v>
      </c>
      <c r="U31" s="77">
        <v>0</v>
      </c>
      <c r="W31" s="77">
        <v>75000</v>
      </c>
      <c r="Y31" s="77">
        <f t="shared" si="13"/>
        <v>0</v>
      </c>
      <c r="Z31" s="57"/>
      <c r="AA31" s="58">
        <f t="shared" si="14"/>
        <v>0</v>
      </c>
      <c r="AB31" s="57"/>
      <c r="AC31" s="77">
        <f t="shared" si="15"/>
        <v>37343.64</v>
      </c>
      <c r="AD31" s="57"/>
      <c r="AE31" s="58">
        <f t="shared" si="16"/>
        <v>0.99169542674862887</v>
      </c>
      <c r="AF31" s="57"/>
      <c r="AG31" s="57" t="s">
        <v>1036</v>
      </c>
      <c r="AH31" s="57"/>
      <c r="AI31" s="57"/>
      <c r="AJ31" s="57"/>
    </row>
    <row r="32" spans="1:36" x14ac:dyDescent="0.2">
      <c r="A32" s="59" t="s">
        <v>177</v>
      </c>
      <c r="B32" s="60" t="s">
        <v>445</v>
      </c>
      <c r="C32" s="79">
        <v>7887.3</v>
      </c>
      <c r="D32" s="80"/>
      <c r="E32" s="79">
        <v>13400.33</v>
      </c>
      <c r="F32" s="80"/>
      <c r="G32" s="79">
        <v>10405.879999999999</v>
      </c>
      <c r="H32" s="79"/>
      <c r="I32" s="79">
        <v>15000</v>
      </c>
      <c r="J32" s="79"/>
      <c r="K32" s="79">
        <v>15000</v>
      </c>
      <c r="L32" s="79"/>
      <c r="M32" s="79">
        <v>12468.41</v>
      </c>
      <c r="N32" s="79"/>
      <c r="O32" s="79">
        <f t="shared" si="11"/>
        <v>0</v>
      </c>
      <c r="P32" s="79"/>
      <c r="Q32" s="79">
        <f t="shared" si="12"/>
        <v>12468.41</v>
      </c>
      <c r="R32" s="79"/>
      <c r="S32" s="79">
        <v>15000</v>
      </c>
      <c r="T32" s="79"/>
      <c r="U32" s="79">
        <v>15000</v>
      </c>
      <c r="V32" s="79"/>
      <c r="W32" s="79">
        <v>15000</v>
      </c>
      <c r="X32" s="79"/>
      <c r="Y32" s="79">
        <f t="shared" si="13"/>
        <v>0</v>
      </c>
      <c r="Z32" s="62"/>
      <c r="AA32" s="63">
        <f t="shared" si="14"/>
        <v>0</v>
      </c>
      <c r="AB32" s="62"/>
      <c r="AC32" s="79">
        <f t="shared" si="15"/>
        <v>2531.59</v>
      </c>
      <c r="AD32" s="62"/>
      <c r="AE32" s="63">
        <f t="shared" si="16"/>
        <v>0.20304032350556325</v>
      </c>
      <c r="AF32" s="57"/>
      <c r="AG32" s="57"/>
      <c r="AH32" s="57"/>
      <c r="AI32" s="57"/>
      <c r="AJ32" s="57"/>
    </row>
    <row r="33" spans="1:36" x14ac:dyDescent="0.2">
      <c r="A33" s="64" t="s">
        <v>66</v>
      </c>
      <c r="C33" s="81">
        <f>SUM(C25:C32)</f>
        <v>365064.05</v>
      </c>
      <c r="E33" s="81">
        <f>SUM(E25:E32)</f>
        <v>572976.02999999991</v>
      </c>
      <c r="G33" s="81">
        <f>SUM(G25:G32)</f>
        <v>817067.49</v>
      </c>
      <c r="I33" s="81">
        <f>SUM(I25:I32)</f>
        <v>735000</v>
      </c>
      <c r="K33" s="81">
        <f>SUM(K25:K32)</f>
        <v>735000</v>
      </c>
      <c r="M33" s="81">
        <f>SUM(M25:M32)</f>
        <v>1092792.51</v>
      </c>
      <c r="O33" s="81">
        <f>SUM(O25:O32)</f>
        <v>0</v>
      </c>
      <c r="Q33" s="81">
        <f>SUM(Q25:Q32)</f>
        <v>1092792.51</v>
      </c>
      <c r="S33" s="81">
        <f>SUM(S25:S32)</f>
        <v>757500</v>
      </c>
      <c r="U33" s="81">
        <f>SUM(U25:U32)</f>
        <v>747500</v>
      </c>
      <c r="W33" s="81">
        <f>SUM(W25:W32)</f>
        <v>822500</v>
      </c>
      <c r="Y33" s="81">
        <f>SUM(Y25:Y32)</f>
        <v>87500</v>
      </c>
      <c r="Z33" s="57"/>
      <c r="AA33" s="65">
        <f t="shared" si="14"/>
        <v>0.11904761904761905</v>
      </c>
      <c r="AB33" s="57"/>
      <c r="AC33" s="81">
        <f>SUM(AC25:AC32)</f>
        <v>-270292.50999999995</v>
      </c>
      <c r="AD33" s="57"/>
      <c r="AE33" s="65">
        <f t="shared" si="16"/>
        <v>-0.24734110778266585</v>
      </c>
      <c r="AF33" s="57"/>
      <c r="AG33" s="57"/>
      <c r="AH33" s="57"/>
      <c r="AI33" s="57"/>
      <c r="AJ33" s="57"/>
    </row>
    <row r="34" spans="1:36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x14ac:dyDescent="0.2">
      <c r="A35" s="54" t="s">
        <v>69</v>
      </c>
      <c r="Z35" s="57"/>
      <c r="AB35" s="57"/>
      <c r="AD35" s="57"/>
      <c r="AF35" s="57"/>
      <c r="AG35" s="57"/>
      <c r="AH35" s="57"/>
      <c r="AI35" s="57"/>
      <c r="AJ35" s="57"/>
    </row>
    <row r="36" spans="1:36" x14ac:dyDescent="0.2">
      <c r="A36" s="59" t="s">
        <v>178</v>
      </c>
      <c r="B36" s="60" t="s">
        <v>601</v>
      </c>
      <c r="C36" s="79">
        <v>80917.17</v>
      </c>
      <c r="D36" s="80"/>
      <c r="E36" s="79">
        <v>107578.77</v>
      </c>
      <c r="F36" s="80"/>
      <c r="G36" s="79">
        <v>243317.41</v>
      </c>
      <c r="H36" s="79"/>
      <c r="I36" s="79">
        <v>135000</v>
      </c>
      <c r="J36" s="79"/>
      <c r="K36" s="79">
        <v>135000</v>
      </c>
      <c r="L36" s="79"/>
      <c r="M36" s="79">
        <v>145642.6</v>
      </c>
      <c r="N36" s="79"/>
      <c r="O36" s="79">
        <f t="shared" ref="O36:O42" si="17">PRODUCT(M36,0/12)</f>
        <v>0</v>
      </c>
      <c r="P36" s="79"/>
      <c r="Q36" s="79">
        <f t="shared" ref="Q36:Q42" si="18">SUM(M36,O36)</f>
        <v>145642.6</v>
      </c>
      <c r="R36" s="79"/>
      <c r="S36" s="79">
        <v>135000</v>
      </c>
      <c r="T36" s="79"/>
      <c r="U36" s="79">
        <v>245000</v>
      </c>
      <c r="V36" s="79"/>
      <c r="W36" s="79">
        <v>245000</v>
      </c>
      <c r="X36" s="79"/>
      <c r="Y36" s="79">
        <f t="shared" ref="Y36:Y42" si="19">SUM(W36,-I36)</f>
        <v>110000</v>
      </c>
      <c r="Z36" s="62"/>
      <c r="AA36" s="63">
        <f t="shared" ref="AA36:AA43" si="20">IF(W36=0,"N/A",PRODUCT(Y36,1/I36))</f>
        <v>0.81481481481481477</v>
      </c>
      <c r="AB36" s="62"/>
      <c r="AC36" s="79">
        <f t="shared" ref="AC36:AC42" si="21">SUM(W36,-Q36)</f>
        <v>99357.4</v>
      </c>
      <c r="AD36" s="62"/>
      <c r="AE36" s="63">
        <f t="shared" ref="AE36:AE43" si="22">IF(W36=0,"N/A",PRODUCT(AC36,1/Q36))</f>
        <v>0.68220012551272768</v>
      </c>
      <c r="AF36" s="57"/>
      <c r="AG36" s="57" t="s">
        <v>1044</v>
      </c>
      <c r="AH36" s="57"/>
      <c r="AI36" s="57"/>
      <c r="AJ36" s="57"/>
    </row>
    <row r="37" spans="1:36" x14ac:dyDescent="0.2">
      <c r="A37" s="55" t="s">
        <v>179</v>
      </c>
      <c r="B37" s="56" t="s">
        <v>581</v>
      </c>
      <c r="C37" s="77">
        <v>32875.800000000003</v>
      </c>
      <c r="E37" s="77">
        <v>46244.31</v>
      </c>
      <c r="G37" s="77">
        <v>65436.53</v>
      </c>
      <c r="I37" s="77">
        <v>60000</v>
      </c>
      <c r="K37" s="77">
        <v>60000</v>
      </c>
      <c r="M37" s="77">
        <v>29159.68</v>
      </c>
      <c r="O37" s="77">
        <f t="shared" si="17"/>
        <v>0</v>
      </c>
      <c r="Q37" s="77">
        <f t="shared" si="18"/>
        <v>29159.68</v>
      </c>
      <c r="S37" s="77">
        <v>55000</v>
      </c>
      <c r="U37" s="77">
        <v>65000</v>
      </c>
      <c r="W37" s="77">
        <v>65000</v>
      </c>
      <c r="Y37" s="77">
        <f t="shared" si="19"/>
        <v>5000</v>
      </c>
      <c r="Z37" s="57"/>
      <c r="AA37" s="58">
        <f t="shared" si="20"/>
        <v>8.3333333333333343E-2</v>
      </c>
      <c r="AB37" s="57"/>
      <c r="AC37" s="77">
        <f t="shared" si="21"/>
        <v>35840.32</v>
      </c>
      <c r="AD37" s="57"/>
      <c r="AE37" s="58">
        <f t="shared" si="22"/>
        <v>1.2291053948465827</v>
      </c>
      <c r="AF37" s="57"/>
      <c r="AG37" s="57"/>
      <c r="AH37" s="57"/>
      <c r="AI37" s="57"/>
      <c r="AJ37" s="57"/>
    </row>
    <row r="38" spans="1:36" x14ac:dyDescent="0.2">
      <c r="A38" s="59" t="s">
        <v>180</v>
      </c>
      <c r="B38" s="60" t="s">
        <v>230</v>
      </c>
      <c r="C38" s="79">
        <v>5633</v>
      </c>
      <c r="D38" s="80"/>
      <c r="E38" s="79">
        <v>10184.86</v>
      </c>
      <c r="F38" s="80"/>
      <c r="G38" s="79">
        <v>5596.7</v>
      </c>
      <c r="H38" s="79"/>
      <c r="I38" s="79">
        <v>20000</v>
      </c>
      <c r="J38" s="79"/>
      <c r="K38" s="79">
        <v>20000</v>
      </c>
      <c r="L38" s="79"/>
      <c r="M38" s="79">
        <v>3832.8</v>
      </c>
      <c r="N38" s="79"/>
      <c r="O38" s="79">
        <f t="shared" si="17"/>
        <v>0</v>
      </c>
      <c r="P38" s="79"/>
      <c r="Q38" s="79">
        <f t="shared" si="18"/>
        <v>3832.8</v>
      </c>
      <c r="R38" s="79"/>
      <c r="S38" s="79">
        <v>12500</v>
      </c>
      <c r="T38" s="79"/>
      <c r="U38" s="79">
        <v>20000</v>
      </c>
      <c r="V38" s="79"/>
      <c r="W38" s="79">
        <v>20000</v>
      </c>
      <c r="X38" s="79"/>
      <c r="Y38" s="79">
        <f t="shared" si="19"/>
        <v>0</v>
      </c>
      <c r="Z38" s="62"/>
      <c r="AA38" s="63">
        <f t="shared" si="20"/>
        <v>0</v>
      </c>
      <c r="AB38" s="62"/>
      <c r="AC38" s="79">
        <f t="shared" si="21"/>
        <v>16167.2</v>
      </c>
      <c r="AD38" s="62"/>
      <c r="AE38" s="63">
        <f t="shared" si="22"/>
        <v>4.2181173032769781</v>
      </c>
      <c r="AF38" s="57"/>
      <c r="AG38" s="57"/>
      <c r="AH38" s="57"/>
      <c r="AI38" s="57"/>
      <c r="AJ38" s="57"/>
    </row>
    <row r="39" spans="1:36" x14ac:dyDescent="0.2">
      <c r="A39" s="55" t="s">
        <v>181</v>
      </c>
      <c r="B39" s="56" t="s">
        <v>347</v>
      </c>
      <c r="C39" s="77">
        <v>2139.3000000000002</v>
      </c>
      <c r="E39" s="77">
        <v>3619.9</v>
      </c>
      <c r="G39" s="77">
        <v>3008.78</v>
      </c>
      <c r="I39" s="77">
        <v>2500</v>
      </c>
      <c r="K39" s="77">
        <v>2500</v>
      </c>
      <c r="M39" s="77">
        <v>2377.81</v>
      </c>
      <c r="O39" s="77">
        <f t="shared" si="17"/>
        <v>0</v>
      </c>
      <c r="Q39" s="77">
        <f t="shared" si="18"/>
        <v>2377.81</v>
      </c>
      <c r="S39" s="77">
        <v>3000</v>
      </c>
      <c r="U39" s="77">
        <v>2500</v>
      </c>
      <c r="W39" s="77">
        <v>2500</v>
      </c>
      <c r="Y39" s="77">
        <f t="shared" si="19"/>
        <v>0</v>
      </c>
      <c r="Z39" s="57"/>
      <c r="AA39" s="58">
        <f t="shared" si="20"/>
        <v>0</v>
      </c>
      <c r="AB39" s="57"/>
      <c r="AC39" s="77">
        <f t="shared" si="21"/>
        <v>122.19000000000005</v>
      </c>
      <c r="AD39" s="57"/>
      <c r="AE39" s="58">
        <f t="shared" si="22"/>
        <v>5.1387621382700914E-2</v>
      </c>
      <c r="AF39" s="57"/>
      <c r="AG39" s="57"/>
      <c r="AH39" s="57"/>
      <c r="AI39" s="57"/>
      <c r="AJ39" s="57"/>
    </row>
    <row r="40" spans="1:36" x14ac:dyDescent="0.2">
      <c r="A40" s="59" t="s">
        <v>182</v>
      </c>
      <c r="B40" s="60" t="s">
        <v>582</v>
      </c>
      <c r="C40" s="79">
        <v>660</v>
      </c>
      <c r="D40" s="80"/>
      <c r="E40" s="79">
        <v>2177.08</v>
      </c>
      <c r="F40" s="80"/>
      <c r="G40" s="79">
        <v>1641.43</v>
      </c>
      <c r="H40" s="79"/>
      <c r="I40" s="79">
        <v>3500</v>
      </c>
      <c r="J40" s="79"/>
      <c r="K40" s="79">
        <v>3500</v>
      </c>
      <c r="L40" s="79"/>
      <c r="M40" s="79">
        <v>64.11</v>
      </c>
      <c r="N40" s="79"/>
      <c r="O40" s="79">
        <f t="shared" si="17"/>
        <v>0</v>
      </c>
      <c r="P40" s="79"/>
      <c r="Q40" s="79">
        <f t="shared" si="18"/>
        <v>64.11</v>
      </c>
      <c r="R40" s="79"/>
      <c r="S40" s="79">
        <v>2500</v>
      </c>
      <c r="T40" s="79"/>
      <c r="U40" s="79">
        <v>3500</v>
      </c>
      <c r="V40" s="79"/>
      <c r="W40" s="79">
        <v>3500</v>
      </c>
      <c r="X40" s="79"/>
      <c r="Y40" s="79">
        <f t="shared" si="19"/>
        <v>0</v>
      </c>
      <c r="Z40" s="62"/>
      <c r="AA40" s="63">
        <f t="shared" si="20"/>
        <v>0</v>
      </c>
      <c r="AB40" s="62"/>
      <c r="AC40" s="79">
        <f t="shared" si="21"/>
        <v>3435.89</v>
      </c>
      <c r="AD40" s="62"/>
      <c r="AE40" s="63">
        <f t="shared" si="22"/>
        <v>53.593667134612382</v>
      </c>
      <c r="AF40" s="57"/>
      <c r="AG40" s="57"/>
      <c r="AH40" s="57"/>
      <c r="AI40" s="57"/>
      <c r="AJ40" s="57"/>
    </row>
    <row r="41" spans="1:36" x14ac:dyDescent="0.2">
      <c r="A41" s="55" t="s">
        <v>183</v>
      </c>
      <c r="B41" s="56" t="s">
        <v>450</v>
      </c>
      <c r="C41" s="77">
        <v>4214.01</v>
      </c>
      <c r="E41" s="77">
        <v>4548.7299999999996</v>
      </c>
      <c r="G41" s="77">
        <v>9759.48</v>
      </c>
      <c r="I41" s="77">
        <v>5500</v>
      </c>
      <c r="K41" s="77">
        <v>5500</v>
      </c>
      <c r="M41" s="77">
        <v>4444.79</v>
      </c>
      <c r="O41" s="77">
        <f t="shared" si="17"/>
        <v>0</v>
      </c>
      <c r="Q41" s="77">
        <f t="shared" si="18"/>
        <v>4444.79</v>
      </c>
      <c r="S41" s="77">
        <v>7500</v>
      </c>
      <c r="U41" s="77">
        <v>6000</v>
      </c>
      <c r="W41" s="77">
        <v>6000</v>
      </c>
      <c r="Y41" s="77">
        <f t="shared" si="19"/>
        <v>500</v>
      </c>
      <c r="Z41" s="57"/>
      <c r="AA41" s="58">
        <f t="shared" si="20"/>
        <v>9.0909090909090898E-2</v>
      </c>
      <c r="AB41" s="57"/>
      <c r="AC41" s="77">
        <f t="shared" si="21"/>
        <v>1555.21</v>
      </c>
      <c r="AD41" s="57"/>
      <c r="AE41" s="58">
        <f t="shared" si="22"/>
        <v>0.34989504566019997</v>
      </c>
      <c r="AF41" s="57"/>
      <c r="AG41" s="57"/>
      <c r="AH41" s="57"/>
      <c r="AI41" s="57"/>
      <c r="AJ41" s="57"/>
    </row>
    <row r="42" spans="1:36" x14ac:dyDescent="0.2">
      <c r="A42" s="59" t="s">
        <v>184</v>
      </c>
      <c r="B42" s="60" t="s">
        <v>217</v>
      </c>
      <c r="C42" s="79">
        <v>7679.09</v>
      </c>
      <c r="D42" s="80"/>
      <c r="E42" s="79">
        <v>6407.6</v>
      </c>
      <c r="F42" s="80"/>
      <c r="G42" s="79">
        <v>9172.65</v>
      </c>
      <c r="H42" s="79"/>
      <c r="I42" s="79">
        <v>6500</v>
      </c>
      <c r="J42" s="79"/>
      <c r="K42" s="79">
        <v>6500</v>
      </c>
      <c r="L42" s="79"/>
      <c r="M42" s="79">
        <v>8990.89</v>
      </c>
      <c r="N42" s="79"/>
      <c r="O42" s="79">
        <f t="shared" si="17"/>
        <v>0</v>
      </c>
      <c r="P42" s="79"/>
      <c r="Q42" s="79">
        <f t="shared" si="18"/>
        <v>8990.89</v>
      </c>
      <c r="R42" s="79"/>
      <c r="S42" s="79">
        <v>8000</v>
      </c>
      <c r="T42" s="79"/>
      <c r="U42" s="79">
        <v>11000</v>
      </c>
      <c r="V42" s="79"/>
      <c r="W42" s="79">
        <v>9000</v>
      </c>
      <c r="X42" s="79"/>
      <c r="Y42" s="79">
        <f t="shared" si="19"/>
        <v>2500</v>
      </c>
      <c r="Z42" s="62"/>
      <c r="AA42" s="63">
        <f t="shared" si="20"/>
        <v>0.38461538461538464</v>
      </c>
      <c r="AB42" s="62"/>
      <c r="AC42" s="79">
        <f t="shared" si="21"/>
        <v>9.1100000000005821</v>
      </c>
      <c r="AD42" s="62"/>
      <c r="AE42" s="63">
        <f t="shared" si="22"/>
        <v>1.0132478542169442E-3</v>
      </c>
      <c r="AF42" s="57"/>
      <c r="AG42" s="57"/>
      <c r="AH42" s="57"/>
      <c r="AI42" s="57"/>
      <c r="AJ42" s="57"/>
    </row>
    <row r="43" spans="1:36" x14ac:dyDescent="0.2">
      <c r="A43" s="64" t="s">
        <v>70</v>
      </c>
      <c r="C43" s="81">
        <f>SUM(C36:C42)</f>
        <v>134118.37</v>
      </c>
      <c r="E43" s="81">
        <f>SUM(E36:E42)</f>
        <v>180761.25</v>
      </c>
      <c r="F43" s="77"/>
      <c r="G43" s="81">
        <f>SUM(G36:G42)</f>
        <v>337932.98000000004</v>
      </c>
      <c r="I43" s="81">
        <f>SUM(I36:I42)</f>
        <v>233000</v>
      </c>
      <c r="K43" s="81">
        <f>SUM(K36:K42)</f>
        <v>233000</v>
      </c>
      <c r="M43" s="81">
        <f>SUM(M36:M42)</f>
        <v>194512.68</v>
      </c>
      <c r="O43" s="81">
        <f>SUM(O36:O42)</f>
        <v>0</v>
      </c>
      <c r="Q43" s="81">
        <f>SUM(Q36:Q42)</f>
        <v>194512.68</v>
      </c>
      <c r="S43" s="81">
        <f>SUM(S36:S42)</f>
        <v>223500</v>
      </c>
      <c r="U43" s="81">
        <f>SUM(U36:U42)</f>
        <v>353000</v>
      </c>
      <c r="W43" s="81">
        <f>SUM(W36:W42)</f>
        <v>351000</v>
      </c>
      <c r="Y43" s="81">
        <f>SUM(Y36:Y42)</f>
        <v>118000</v>
      </c>
      <c r="Z43" s="57"/>
      <c r="AA43" s="65">
        <f t="shared" si="20"/>
        <v>0.50643776824034337</v>
      </c>
      <c r="AB43" s="57"/>
      <c r="AC43" s="81">
        <f>SUM(AC36:AC42)</f>
        <v>156487.32</v>
      </c>
      <c r="AD43" s="57"/>
      <c r="AE43" s="65">
        <f t="shared" si="22"/>
        <v>0.80450960831962215</v>
      </c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ht="13.5" thickBot="1" x14ac:dyDescent="0.25">
      <c r="A45" s="67" t="s">
        <v>172</v>
      </c>
      <c r="C45" s="83">
        <f>SUM(C13,C22,C33,C43)</f>
        <v>1268774.8500000001</v>
      </c>
      <c r="E45" s="83">
        <f>SUM(E13,E22,E33,E43)</f>
        <v>1645979.93</v>
      </c>
      <c r="G45" s="83">
        <f>SUM(G13,G22,G33,G43)</f>
        <v>1751033.52</v>
      </c>
      <c r="I45" s="83">
        <f>SUM(I13,I22,I33,I43)</f>
        <v>2015850</v>
      </c>
      <c r="K45" s="83">
        <f>SUM(K13,K22,K33,K43)</f>
        <v>2015850</v>
      </c>
      <c r="M45" s="82">
        <f>SUM(M13,M22,M33,M43)</f>
        <v>2445920.36</v>
      </c>
      <c r="O45" s="82">
        <f>SUM(O13,O22,O33,O43)</f>
        <v>0</v>
      </c>
      <c r="Q45" s="83">
        <f>SUM(Q13,Q22,Q33,Q43)</f>
        <v>2445920.36</v>
      </c>
      <c r="S45" s="82">
        <f>SUM(S13,S22,S33,S43)</f>
        <v>2057500</v>
      </c>
      <c r="U45" s="82">
        <f>SUM(U13,U22,U33,U43)</f>
        <v>2187500</v>
      </c>
      <c r="W45" s="83">
        <f>SUM(W13,W22,W33,W43)</f>
        <v>2265500</v>
      </c>
      <c r="Y45" s="82">
        <f>SUM(Y13,Y22,Y33,Y43)</f>
        <v>249650</v>
      </c>
      <c r="Z45" s="57"/>
      <c r="AA45" s="125">
        <f>IF(W45=0,"N/A",PRODUCT(Y45,1/I45))</f>
        <v>0.1238435399459285</v>
      </c>
      <c r="AB45" s="57"/>
      <c r="AC45" s="82">
        <f>SUM(AC13,AC22,AC33,AC43)</f>
        <v>-180420.35999999993</v>
      </c>
      <c r="AD45" s="57"/>
      <c r="AE45" s="125">
        <f>IF(W45=0,"N/A",PRODUCT(AC45,1/Q45))</f>
        <v>-7.3763791720512076E-2</v>
      </c>
      <c r="AF45" s="57"/>
      <c r="AG45" s="57"/>
      <c r="AH45" s="57"/>
      <c r="AI45" s="57"/>
      <c r="AJ45" s="57"/>
    </row>
    <row r="46" spans="1:36" ht="13.5" thickTop="1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G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G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G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G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G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G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G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G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G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G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G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G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G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G113" s="57"/>
      <c r="AH113" s="57"/>
      <c r="AI113" s="57"/>
      <c r="AJ113" s="57"/>
    </row>
  </sheetData>
  <pageMargins left="0.25" right="0.25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8FB7-CE3F-4E1A-ADBC-6343E45AB68F}">
  <sheetPr>
    <tabColor rgb="FF92D050"/>
  </sheetPr>
  <dimension ref="A1:AJ99"/>
  <sheetViews>
    <sheetView showGridLines="0" workbookViewId="0">
      <pane xSplit="2" ySplit="3" topLeftCell="C4" activePane="bottomRight" state="frozen"/>
      <selection activeCell="AG19" sqref="AG19"/>
      <selection pane="topRight" activeCell="AG19" sqref="AG19"/>
      <selection pane="bottomLeft" activeCell="AG19" sqref="AG19"/>
      <selection pane="bottomRight" activeCell="AG19" sqref="AG19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185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x14ac:dyDescent="0.2">
      <c r="A6" s="55" t="s">
        <v>187</v>
      </c>
      <c r="B6" s="56" t="s">
        <v>219</v>
      </c>
      <c r="C6" s="77">
        <v>67995.289999999994</v>
      </c>
      <c r="E6" s="77">
        <v>82715.5</v>
      </c>
      <c r="G6" s="77">
        <v>76118.95</v>
      </c>
      <c r="I6" s="77">
        <v>114000</v>
      </c>
      <c r="K6" s="77">
        <v>112000</v>
      </c>
      <c r="M6" s="77">
        <v>107344.11</v>
      </c>
      <c r="O6" s="77">
        <f>PRODUCT(M6,0/12)</f>
        <v>0</v>
      </c>
      <c r="Q6" s="77">
        <f t="shared" ref="Q6:Q13" si="0">SUM(M6,O6)</f>
        <v>107344.11</v>
      </c>
      <c r="S6" s="77">
        <v>135000</v>
      </c>
      <c r="U6" s="77">
        <v>135000</v>
      </c>
      <c r="W6" s="77">
        <v>135000</v>
      </c>
      <c r="Y6" s="77">
        <f>SUM(W6,-I6)</f>
        <v>21000</v>
      </c>
      <c r="Z6" s="57"/>
      <c r="AA6" s="58">
        <f>IF(W6=0,"N/A",PRODUCT(Y6,1/I6))</f>
        <v>0.18421052631578946</v>
      </c>
      <c r="AB6" s="57"/>
      <c r="AC6" s="77">
        <f>SUM(W6,-Q6)</f>
        <v>27655.89</v>
      </c>
      <c r="AD6" s="57"/>
      <c r="AE6" s="58">
        <f>IF(W6=0,"N/A",PRODUCT(AC6,1/Q6))</f>
        <v>0.25763770364298516</v>
      </c>
      <c r="AF6" s="57"/>
      <c r="AG6" s="57" t="s">
        <v>956</v>
      </c>
      <c r="AH6" s="57"/>
      <c r="AI6" s="57"/>
      <c r="AJ6" s="57"/>
    </row>
    <row r="7" spans="1:36" x14ac:dyDescent="0.2">
      <c r="A7" s="59" t="s">
        <v>188</v>
      </c>
      <c r="B7" s="60" t="s">
        <v>220</v>
      </c>
      <c r="C7" s="79">
        <v>157.5</v>
      </c>
      <c r="D7" s="80"/>
      <c r="E7" s="79">
        <v>335.85</v>
      </c>
      <c r="F7" s="80"/>
      <c r="G7" s="79">
        <v>3171.63</v>
      </c>
      <c r="H7" s="79"/>
      <c r="I7" s="79">
        <v>1500</v>
      </c>
      <c r="J7" s="79"/>
      <c r="K7" s="79">
        <v>3500</v>
      </c>
      <c r="L7" s="79"/>
      <c r="M7" s="79">
        <v>10215.58</v>
      </c>
      <c r="N7" s="79"/>
      <c r="O7" s="79">
        <f>PRODUCT(M7,0/12)</f>
        <v>0</v>
      </c>
      <c r="P7" s="79"/>
      <c r="Q7" s="79">
        <f t="shared" si="0"/>
        <v>10215.58</v>
      </c>
      <c r="R7" s="79"/>
      <c r="S7" s="79">
        <v>2000</v>
      </c>
      <c r="T7" s="79"/>
      <c r="U7" s="79">
        <v>4500</v>
      </c>
      <c r="V7" s="79"/>
      <c r="W7" s="79">
        <v>3000</v>
      </c>
      <c r="X7" s="79"/>
      <c r="Y7" s="79">
        <f t="shared" ref="Y7:Y13" si="1">SUM(W7,-I7)</f>
        <v>1500</v>
      </c>
      <c r="Z7" s="62"/>
      <c r="AA7" s="63">
        <f t="shared" ref="AA7:AA14" si="2">IF(W7=0,"N/A",PRODUCT(Y7,1/I7))</f>
        <v>1</v>
      </c>
      <c r="AB7" s="62"/>
      <c r="AC7" s="79">
        <f t="shared" ref="AC7:AC13" si="3">SUM(W7,-Q7)</f>
        <v>-7215.58</v>
      </c>
      <c r="AD7" s="62"/>
      <c r="AE7" s="63">
        <f t="shared" ref="AE7:AE14" si="4">IF(W7=0,"N/A",PRODUCT(AC7,1/Q7))</f>
        <v>-0.70633091806828385</v>
      </c>
      <c r="AF7" s="57"/>
      <c r="AG7" s="57"/>
      <c r="AH7" s="57"/>
      <c r="AI7" s="57"/>
      <c r="AJ7" s="57"/>
    </row>
    <row r="8" spans="1:36" x14ac:dyDescent="0.2">
      <c r="A8" s="55" t="s">
        <v>957</v>
      </c>
      <c r="B8" s="56" t="s">
        <v>422</v>
      </c>
      <c r="C8" s="77">
        <v>0</v>
      </c>
      <c r="E8" s="77">
        <v>0</v>
      </c>
      <c r="G8" s="77">
        <v>0</v>
      </c>
      <c r="I8" s="77">
        <v>0</v>
      </c>
      <c r="K8" s="77">
        <v>0</v>
      </c>
      <c r="M8" s="77">
        <v>0</v>
      </c>
      <c r="O8" s="77">
        <f>PRODUCT(M8,0/12)</f>
        <v>0</v>
      </c>
      <c r="Q8" s="77">
        <f t="shared" si="0"/>
        <v>0</v>
      </c>
      <c r="S8" s="77">
        <v>0</v>
      </c>
      <c r="U8" s="77">
        <v>0</v>
      </c>
      <c r="W8" s="77">
        <v>0</v>
      </c>
      <c r="Y8" s="77">
        <f t="shared" si="1"/>
        <v>0</v>
      </c>
      <c r="Z8" s="57"/>
      <c r="AA8" s="58" t="str">
        <f t="shared" si="2"/>
        <v>N/A</v>
      </c>
      <c r="AB8" s="57"/>
      <c r="AC8" s="77">
        <f t="shared" si="3"/>
        <v>0</v>
      </c>
      <c r="AD8" s="57"/>
      <c r="AE8" s="58" t="str">
        <f t="shared" si="4"/>
        <v>N/A</v>
      </c>
      <c r="AF8" s="57"/>
      <c r="AG8" s="57"/>
      <c r="AH8" s="57"/>
      <c r="AI8" s="57"/>
      <c r="AJ8" s="57"/>
    </row>
    <row r="9" spans="1:36" x14ac:dyDescent="0.2">
      <c r="A9" s="59" t="s">
        <v>189</v>
      </c>
      <c r="B9" s="60" t="s">
        <v>286</v>
      </c>
      <c r="C9" s="79">
        <v>4668.22</v>
      </c>
      <c r="D9" s="80"/>
      <c r="E9" s="79">
        <v>6151.18</v>
      </c>
      <c r="F9" s="80"/>
      <c r="G9" s="79">
        <v>5656.98</v>
      </c>
      <c r="H9" s="79"/>
      <c r="I9" s="79">
        <v>8900</v>
      </c>
      <c r="J9" s="79"/>
      <c r="K9" s="79">
        <v>8900</v>
      </c>
      <c r="L9" s="79"/>
      <c r="M9" s="79">
        <v>8904.1299999999992</v>
      </c>
      <c r="N9" s="79"/>
      <c r="O9" s="79">
        <f>PRODUCT(M9,0/12)</f>
        <v>0</v>
      </c>
      <c r="P9" s="79"/>
      <c r="Q9" s="79">
        <f t="shared" si="0"/>
        <v>8904.1299999999992</v>
      </c>
      <c r="R9" s="79"/>
      <c r="S9" s="79">
        <v>10500</v>
      </c>
      <c r="T9" s="79"/>
      <c r="U9" s="79">
        <v>10500</v>
      </c>
      <c r="V9" s="79"/>
      <c r="W9" s="79">
        <v>10500</v>
      </c>
      <c r="X9" s="79"/>
      <c r="Y9" s="79">
        <f t="shared" si="1"/>
        <v>1600</v>
      </c>
      <c r="Z9" s="62"/>
      <c r="AA9" s="63">
        <f t="shared" si="2"/>
        <v>0.1797752808988764</v>
      </c>
      <c r="AB9" s="62"/>
      <c r="AC9" s="79">
        <f t="shared" si="3"/>
        <v>1595.8700000000008</v>
      </c>
      <c r="AD9" s="62"/>
      <c r="AE9" s="63">
        <f t="shared" si="4"/>
        <v>0.17922806607720249</v>
      </c>
      <c r="AF9" s="57"/>
      <c r="AG9" s="57"/>
      <c r="AH9" s="57"/>
      <c r="AI9" s="57"/>
      <c r="AJ9" s="57"/>
    </row>
    <row r="10" spans="1:36" x14ac:dyDescent="0.2">
      <c r="A10" s="55" t="s">
        <v>190</v>
      </c>
      <c r="B10" s="56" t="s">
        <v>221</v>
      </c>
      <c r="C10" s="77">
        <v>15826.48</v>
      </c>
      <c r="E10" s="77">
        <v>16664.97</v>
      </c>
      <c r="G10" s="77">
        <v>16723.560000000001</v>
      </c>
      <c r="I10" s="77">
        <v>23000</v>
      </c>
      <c r="K10" s="77">
        <v>23000</v>
      </c>
      <c r="M10" s="77">
        <v>11687.12</v>
      </c>
      <c r="O10" s="77">
        <f>PRODUCT(M10,0/12)</f>
        <v>0</v>
      </c>
      <c r="Q10" s="77">
        <f t="shared" si="0"/>
        <v>11687.12</v>
      </c>
      <c r="S10" s="77">
        <v>25000</v>
      </c>
      <c r="U10" s="77">
        <v>17500</v>
      </c>
      <c r="W10" s="77">
        <v>25000</v>
      </c>
      <c r="Y10" s="77">
        <f t="shared" si="1"/>
        <v>2000</v>
      </c>
      <c r="Z10" s="57"/>
      <c r="AA10" s="58">
        <f t="shared" si="2"/>
        <v>8.6956521739130446E-2</v>
      </c>
      <c r="AB10" s="57"/>
      <c r="AC10" s="77">
        <f t="shared" si="3"/>
        <v>13312.88</v>
      </c>
      <c r="AD10" s="57"/>
      <c r="AE10" s="58">
        <f t="shared" si="4"/>
        <v>1.1391069827297058</v>
      </c>
      <c r="AF10" s="57"/>
      <c r="AG10" s="57"/>
      <c r="AH10" s="57"/>
      <c r="AI10" s="57"/>
      <c r="AJ10" s="57"/>
    </row>
    <row r="11" spans="1:36" x14ac:dyDescent="0.2">
      <c r="A11" s="59" t="s">
        <v>191</v>
      </c>
      <c r="B11" s="60" t="s">
        <v>400</v>
      </c>
      <c r="C11" s="79">
        <v>3254.54</v>
      </c>
      <c r="D11" s="80"/>
      <c r="E11" s="79">
        <v>3469.74</v>
      </c>
      <c r="F11" s="80"/>
      <c r="G11" s="79">
        <v>3776.53</v>
      </c>
      <c r="H11" s="79"/>
      <c r="I11" s="79">
        <v>1400</v>
      </c>
      <c r="J11" s="79"/>
      <c r="K11" s="79">
        <v>1400</v>
      </c>
      <c r="L11" s="79"/>
      <c r="M11" s="79">
        <v>566.61</v>
      </c>
      <c r="N11" s="79"/>
      <c r="O11" s="79">
        <v>0</v>
      </c>
      <c r="P11" s="79"/>
      <c r="Q11" s="79">
        <f t="shared" si="0"/>
        <v>566.61</v>
      </c>
      <c r="R11" s="79"/>
      <c r="S11" s="79">
        <v>0</v>
      </c>
      <c r="T11" s="79"/>
      <c r="U11" s="79">
        <v>0</v>
      </c>
      <c r="V11" s="79"/>
      <c r="W11" s="79">
        <v>0</v>
      </c>
      <c r="X11" s="79"/>
      <c r="Y11" s="79">
        <f t="shared" si="1"/>
        <v>-1400</v>
      </c>
      <c r="Z11" s="62"/>
      <c r="AA11" s="63" t="str">
        <f t="shared" si="2"/>
        <v>N/A</v>
      </c>
      <c r="AB11" s="62"/>
      <c r="AC11" s="79">
        <f t="shared" si="3"/>
        <v>-566.61</v>
      </c>
      <c r="AD11" s="62"/>
      <c r="AE11" s="63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A12" s="55" t="s">
        <v>192</v>
      </c>
      <c r="B12" s="56" t="s">
        <v>401</v>
      </c>
      <c r="C12" s="77">
        <v>867.81</v>
      </c>
      <c r="E12" s="77">
        <v>925.16</v>
      </c>
      <c r="G12" s="77">
        <v>1007.09</v>
      </c>
      <c r="I12" s="77">
        <v>700</v>
      </c>
      <c r="K12" s="77">
        <v>700</v>
      </c>
      <c r="M12" s="77">
        <v>156.26</v>
      </c>
      <c r="O12" s="77">
        <v>0</v>
      </c>
      <c r="Q12" s="77">
        <f t="shared" si="0"/>
        <v>156.26</v>
      </c>
      <c r="S12" s="77">
        <v>0</v>
      </c>
      <c r="U12" s="77">
        <v>0</v>
      </c>
      <c r="W12" s="77">
        <v>0</v>
      </c>
      <c r="Y12" s="77">
        <f t="shared" si="1"/>
        <v>-700</v>
      </c>
      <c r="Z12" s="57"/>
      <c r="AA12" s="58" t="str">
        <f t="shared" si="2"/>
        <v>N/A</v>
      </c>
      <c r="AB12" s="57"/>
      <c r="AC12" s="77">
        <f t="shared" si="3"/>
        <v>-156.26</v>
      </c>
      <c r="AD12" s="57"/>
      <c r="AE12" s="58" t="str">
        <f t="shared" si="4"/>
        <v>N/A</v>
      </c>
      <c r="AF12" s="57"/>
      <c r="AG12" s="57"/>
      <c r="AH12" s="57"/>
      <c r="AI12" s="57"/>
      <c r="AJ12" s="57"/>
    </row>
    <row r="13" spans="1:36" x14ac:dyDescent="0.2">
      <c r="A13" s="59" t="s">
        <v>193</v>
      </c>
      <c r="B13" s="60" t="s">
        <v>46</v>
      </c>
      <c r="C13" s="79">
        <v>0</v>
      </c>
      <c r="D13" s="80"/>
      <c r="E13" s="79">
        <v>0</v>
      </c>
      <c r="F13" s="80"/>
      <c r="G13" s="79">
        <v>0</v>
      </c>
      <c r="H13" s="79"/>
      <c r="I13" s="79">
        <v>7300</v>
      </c>
      <c r="J13" s="79"/>
      <c r="K13" s="79">
        <v>7300</v>
      </c>
      <c r="L13" s="79"/>
      <c r="M13" s="79">
        <v>6199.91</v>
      </c>
      <c r="N13" s="79"/>
      <c r="O13" s="79">
        <f>PRODUCT(M13,0/9)</f>
        <v>0</v>
      </c>
      <c r="P13" s="79"/>
      <c r="Q13" s="79">
        <f t="shared" si="0"/>
        <v>6199.91</v>
      </c>
      <c r="R13" s="79"/>
      <c r="S13" s="79">
        <v>13000</v>
      </c>
      <c r="T13" s="79"/>
      <c r="U13" s="79">
        <v>11500</v>
      </c>
      <c r="V13" s="79"/>
      <c r="W13" s="79">
        <v>13000</v>
      </c>
      <c r="X13" s="79"/>
      <c r="Y13" s="79">
        <f t="shared" si="1"/>
        <v>5700</v>
      </c>
      <c r="Z13" s="62"/>
      <c r="AA13" s="63">
        <f t="shared" si="2"/>
        <v>0.78082191780821908</v>
      </c>
      <c r="AB13" s="62"/>
      <c r="AC13" s="79">
        <f t="shared" si="3"/>
        <v>6800.09</v>
      </c>
      <c r="AD13" s="62"/>
      <c r="AE13" s="63">
        <f t="shared" si="4"/>
        <v>1.0968046310349666</v>
      </c>
      <c r="AF13" s="57"/>
      <c r="AG13" s="57"/>
      <c r="AH13" s="57"/>
      <c r="AI13" s="57"/>
      <c r="AJ13" s="57"/>
    </row>
    <row r="14" spans="1:36" x14ac:dyDescent="0.2">
      <c r="A14" s="64" t="s">
        <v>47</v>
      </c>
      <c r="C14" s="81">
        <f>SUM(C6:C13)</f>
        <v>92769.839999999982</v>
      </c>
      <c r="E14" s="81">
        <f>SUM(E6:E13)</f>
        <v>110262.40000000001</v>
      </c>
      <c r="G14" s="81">
        <f>SUM(G6:G13)</f>
        <v>106454.73999999999</v>
      </c>
      <c r="I14" s="81">
        <f>SUM(I6:I13)</f>
        <v>156800</v>
      </c>
      <c r="K14" s="81">
        <f>SUM(K6:K13)</f>
        <v>156800</v>
      </c>
      <c r="M14" s="81">
        <f>SUM(M6:M13)</f>
        <v>145073.72</v>
      </c>
      <c r="O14" s="81">
        <f>SUM(O6:O13)</f>
        <v>0</v>
      </c>
      <c r="Q14" s="81">
        <f>SUM(Q6:Q13)</f>
        <v>145073.72</v>
      </c>
      <c r="S14" s="81">
        <f>SUM(S6:S13)</f>
        <v>185500</v>
      </c>
      <c r="U14" s="81">
        <f>SUM(U6:U13)</f>
        <v>179000</v>
      </c>
      <c r="W14" s="81">
        <f>SUM(W6:W13)</f>
        <v>186500</v>
      </c>
      <c r="Y14" s="81">
        <f>SUM(Y6:Y13)</f>
        <v>29700</v>
      </c>
      <c r="Z14" s="57"/>
      <c r="AA14" s="65">
        <f t="shared" si="2"/>
        <v>0.18941326530612246</v>
      </c>
      <c r="AB14" s="57"/>
      <c r="AC14" s="81">
        <f>SUM(AC6:AC13)</f>
        <v>41426.28</v>
      </c>
      <c r="AD14" s="57"/>
      <c r="AE14" s="65">
        <f t="shared" si="4"/>
        <v>0.28555330352044467</v>
      </c>
      <c r="AF14" s="57"/>
      <c r="AG14" s="57"/>
      <c r="AH14" s="57"/>
      <c r="AI14" s="57"/>
      <c r="AJ14" s="57"/>
    </row>
    <row r="15" spans="1:36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A16" s="54" t="s">
        <v>48</v>
      </c>
      <c r="Z16" s="57"/>
      <c r="AB16" s="57"/>
      <c r="AD16" s="57"/>
      <c r="AF16" s="57"/>
      <c r="AG16" s="57"/>
      <c r="AH16" s="57"/>
      <c r="AI16" s="57"/>
      <c r="AJ16" s="57"/>
    </row>
    <row r="17" spans="1:36" x14ac:dyDescent="0.2">
      <c r="A17" s="55" t="s">
        <v>194</v>
      </c>
      <c r="B17" s="56" t="s">
        <v>605</v>
      </c>
      <c r="C17" s="77">
        <v>9750</v>
      </c>
      <c r="E17" s="77">
        <v>9680</v>
      </c>
      <c r="G17" s="77">
        <v>9750</v>
      </c>
      <c r="I17" s="77">
        <v>12500</v>
      </c>
      <c r="K17" s="77">
        <v>12500</v>
      </c>
      <c r="M17" s="77">
        <v>18250</v>
      </c>
      <c r="O17" s="77">
        <f>PRODUCT(M17,0/12)</f>
        <v>0</v>
      </c>
      <c r="Q17" s="77">
        <f>SUM(M17,O17)</f>
        <v>18250</v>
      </c>
      <c r="S17" s="77">
        <v>12000</v>
      </c>
      <c r="U17" s="77">
        <v>13000</v>
      </c>
      <c r="W17" s="77">
        <f>PRODUCT(K17,1.14)</f>
        <v>14249.999999999998</v>
      </c>
      <c r="Y17" s="77">
        <f>SUM(W17,-I17)</f>
        <v>1749.9999999999982</v>
      </c>
      <c r="Z17" s="57"/>
      <c r="AA17" s="58">
        <f>IF(W17=0,"N/A",PRODUCT(Y17,1/I17))</f>
        <v>0.13999999999999987</v>
      </c>
      <c r="AB17" s="57"/>
      <c r="AC17" s="77">
        <f>SUM(W17,-Q17)</f>
        <v>-4000.0000000000018</v>
      </c>
      <c r="AD17" s="57"/>
      <c r="AE17" s="58">
        <f>IF(W17=0,"N/A",PRODUCT(AC17,1/Q17))</f>
        <v>-0.21917808219178092</v>
      </c>
      <c r="AF17" s="57"/>
      <c r="AG17" s="57" t="s">
        <v>1116</v>
      </c>
      <c r="AH17" s="57"/>
      <c r="AI17" s="57"/>
      <c r="AJ17" s="57"/>
    </row>
    <row r="18" spans="1:36" x14ac:dyDescent="0.2">
      <c r="A18" s="59" t="s">
        <v>195</v>
      </c>
      <c r="B18" s="60" t="s">
        <v>606</v>
      </c>
      <c r="C18" s="79">
        <v>127609</v>
      </c>
      <c r="D18" s="80"/>
      <c r="E18" s="79">
        <v>139169.17000000001</v>
      </c>
      <c r="F18" s="80"/>
      <c r="G18" s="79">
        <v>163119.51</v>
      </c>
      <c r="H18" s="79"/>
      <c r="I18" s="79">
        <v>162000</v>
      </c>
      <c r="J18" s="79"/>
      <c r="K18" s="79">
        <v>162000</v>
      </c>
      <c r="L18" s="79"/>
      <c r="M18" s="79">
        <v>170124.35</v>
      </c>
      <c r="N18" s="79"/>
      <c r="O18" s="79">
        <f>PRODUCT(M18,0/12)</f>
        <v>0</v>
      </c>
      <c r="P18" s="79"/>
      <c r="Q18" s="79">
        <f>SUM(M18,O18)</f>
        <v>170124.35</v>
      </c>
      <c r="R18" s="79"/>
      <c r="S18" s="79">
        <v>165000</v>
      </c>
      <c r="T18" s="79"/>
      <c r="U18" s="79">
        <v>170000</v>
      </c>
      <c r="V18" s="79"/>
      <c r="W18" s="79">
        <f>PRODUCT(K18,1.11)</f>
        <v>179820.00000000003</v>
      </c>
      <c r="X18" s="79"/>
      <c r="Y18" s="79">
        <f>SUM(W18,-I18)</f>
        <v>17820.000000000029</v>
      </c>
      <c r="Z18" s="62"/>
      <c r="AA18" s="63">
        <f>IF(W18=0,"N/A",PRODUCT(Y18,1/I18))</f>
        <v>0.11000000000000017</v>
      </c>
      <c r="AB18" s="62"/>
      <c r="AC18" s="79">
        <f>SUM(W18,-Q18)</f>
        <v>9695.6500000000233</v>
      </c>
      <c r="AD18" s="62"/>
      <c r="AE18" s="63">
        <f>IF(W18=0,"N/A",PRODUCT(AC18,1/Q18))</f>
        <v>5.6991547653231431E-2</v>
      </c>
      <c r="AF18" s="57"/>
      <c r="AG18" s="57" t="s">
        <v>1115</v>
      </c>
      <c r="AH18" s="57"/>
      <c r="AI18" s="57"/>
      <c r="AJ18" s="57"/>
    </row>
    <row r="19" spans="1:36" x14ac:dyDescent="0.2">
      <c r="A19" s="55" t="s">
        <v>196</v>
      </c>
      <c r="B19" s="56" t="s">
        <v>607</v>
      </c>
      <c r="C19" s="77">
        <v>595809.72</v>
      </c>
      <c r="E19" s="77">
        <v>643685.47</v>
      </c>
      <c r="G19" s="77">
        <v>684177.27</v>
      </c>
      <c r="I19" s="77">
        <v>701000</v>
      </c>
      <c r="K19" s="77">
        <v>701000</v>
      </c>
      <c r="M19" s="77">
        <v>733905.99</v>
      </c>
      <c r="O19" s="77">
        <f>PRODUCT(M19,0/12)</f>
        <v>0</v>
      </c>
      <c r="Q19" s="77">
        <f>SUM(M19,O19)</f>
        <v>733905.99</v>
      </c>
      <c r="S19" s="77">
        <v>725000</v>
      </c>
      <c r="U19" s="77">
        <v>775000</v>
      </c>
      <c r="W19" s="77">
        <f>PRODUCT(K19,1.14)</f>
        <v>799139.99999999988</v>
      </c>
      <c r="Y19" s="77">
        <f>SUM(W19,-I19)</f>
        <v>98139.999999999884</v>
      </c>
      <c r="Z19" s="57"/>
      <c r="AA19" s="58">
        <f>IF(W19=0,"N/A",PRODUCT(Y19,1/I19))</f>
        <v>0.13999999999999985</v>
      </c>
      <c r="AB19" s="57"/>
      <c r="AC19" s="77">
        <f>SUM(W19,-Q19)</f>
        <v>65234.009999999893</v>
      </c>
      <c r="AD19" s="57"/>
      <c r="AE19" s="58">
        <f>IF(W19=0,"N/A",PRODUCT(AC19,1/Q19))</f>
        <v>8.8886057463572268E-2</v>
      </c>
      <c r="AF19" s="57"/>
      <c r="AG19" s="57" t="s">
        <v>1116</v>
      </c>
      <c r="AH19" s="57"/>
      <c r="AI19" s="57"/>
      <c r="AJ19" s="57"/>
    </row>
    <row r="20" spans="1:36" x14ac:dyDescent="0.2">
      <c r="A20" s="59" t="s">
        <v>197</v>
      </c>
      <c r="B20" s="60" t="s">
        <v>608</v>
      </c>
      <c r="C20" s="79">
        <v>17849.82</v>
      </c>
      <c r="D20" s="80"/>
      <c r="E20" s="79">
        <v>19315</v>
      </c>
      <c r="F20" s="80"/>
      <c r="G20" s="79">
        <v>39325</v>
      </c>
      <c r="H20" s="79"/>
      <c r="I20" s="79">
        <v>35000</v>
      </c>
      <c r="J20" s="79"/>
      <c r="K20" s="79">
        <v>35000</v>
      </c>
      <c r="L20" s="79"/>
      <c r="M20" s="79">
        <v>29770</v>
      </c>
      <c r="N20" s="79"/>
      <c r="O20" s="79">
        <f>PRODUCT(M20,0/12)</f>
        <v>0</v>
      </c>
      <c r="P20" s="79"/>
      <c r="Q20" s="79">
        <f>SUM(M20,O20)</f>
        <v>29770</v>
      </c>
      <c r="R20" s="79"/>
      <c r="S20" s="79">
        <v>37500</v>
      </c>
      <c r="T20" s="79"/>
      <c r="U20" s="79">
        <v>45000</v>
      </c>
      <c r="V20" s="79"/>
      <c r="W20" s="79">
        <f>PRODUCT(K20,1.14)</f>
        <v>39900</v>
      </c>
      <c r="X20" s="79"/>
      <c r="Y20" s="79">
        <f>SUM(W20,-I20)</f>
        <v>4900</v>
      </c>
      <c r="Z20" s="62"/>
      <c r="AA20" s="63">
        <f>IF(W20=0,"N/A",PRODUCT(Y20,1/I20))</f>
        <v>0.13999999999999999</v>
      </c>
      <c r="AB20" s="62"/>
      <c r="AC20" s="79">
        <f>SUM(W20,-Q20)</f>
        <v>10130</v>
      </c>
      <c r="AD20" s="62"/>
      <c r="AE20" s="63">
        <f>IF(W20=0,"N/A",PRODUCT(AC20,1/Q20))</f>
        <v>0.34027544507893853</v>
      </c>
      <c r="AF20" s="57"/>
      <c r="AG20" s="57" t="s">
        <v>1116</v>
      </c>
      <c r="AH20" s="57"/>
      <c r="AI20" s="57"/>
      <c r="AJ20" s="57"/>
    </row>
    <row r="21" spans="1:36" x14ac:dyDescent="0.2">
      <c r="A21" s="64" t="s">
        <v>49</v>
      </c>
      <c r="C21" s="81">
        <f>SUM(C17:C20)</f>
        <v>751018.53999999992</v>
      </c>
      <c r="E21" s="81">
        <f>SUM(E17:E20)</f>
        <v>811849.64</v>
      </c>
      <c r="G21" s="81">
        <f>SUM(G17:G20)</f>
        <v>896371.78</v>
      </c>
      <c r="I21" s="81">
        <f>SUM(I17:I20)</f>
        <v>910500</v>
      </c>
      <c r="K21" s="81">
        <f>SUM(K17:K20)</f>
        <v>910500</v>
      </c>
      <c r="M21" s="81">
        <f>SUM(M17:M20)</f>
        <v>952050.34</v>
      </c>
      <c r="O21" s="81">
        <f>SUM(O17:O20)</f>
        <v>0</v>
      </c>
      <c r="Q21" s="81">
        <f>SUM(Q17:Q20)</f>
        <v>952050.34</v>
      </c>
      <c r="S21" s="81">
        <f>SUM(S17:S20)</f>
        <v>939500</v>
      </c>
      <c r="U21" s="81">
        <f>SUM(U17:U20)</f>
        <v>1003000</v>
      </c>
      <c r="W21" s="81">
        <f>SUM(W17:W20)</f>
        <v>1033109.9999999999</v>
      </c>
      <c r="Y21" s="81">
        <f>SUM(Y17:Y20)</f>
        <v>122609.99999999991</v>
      </c>
      <c r="Z21" s="57"/>
      <c r="AA21" s="65">
        <f>IF(W21=0,"N/A",PRODUCT(Y21,1/I21))</f>
        <v>0.13466227347611193</v>
      </c>
      <c r="AB21" s="57"/>
      <c r="AC21" s="81">
        <f>SUM(AC17:AC20)</f>
        <v>81059.659999999916</v>
      </c>
      <c r="AD21" s="57"/>
      <c r="AE21" s="65">
        <f>IF(W21=0,"N/A",PRODUCT(AC21,1/Q21))</f>
        <v>8.5142199518567385E-2</v>
      </c>
      <c r="AF21" s="57"/>
      <c r="AG21" s="57"/>
      <c r="AH21" s="57"/>
      <c r="AI21" s="57"/>
      <c r="AJ21" s="57"/>
    </row>
    <row r="22" spans="1:36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x14ac:dyDescent="0.2">
      <c r="A23" s="54" t="s">
        <v>65</v>
      </c>
      <c r="Z23" s="57"/>
      <c r="AB23" s="57"/>
      <c r="AD23" s="57"/>
      <c r="AF23" s="57"/>
      <c r="AG23" s="57"/>
      <c r="AH23" s="57"/>
      <c r="AI23" s="57"/>
      <c r="AJ23" s="57"/>
    </row>
    <row r="24" spans="1:36" x14ac:dyDescent="0.2">
      <c r="A24" s="59" t="s">
        <v>198</v>
      </c>
      <c r="B24" s="60" t="s">
        <v>610</v>
      </c>
      <c r="C24" s="79">
        <v>9459.2000000000007</v>
      </c>
      <c r="D24" s="80"/>
      <c r="E24" s="79">
        <v>28333.58</v>
      </c>
      <c r="F24" s="80"/>
      <c r="G24" s="79">
        <v>49016.4</v>
      </c>
      <c r="H24" s="79"/>
      <c r="I24" s="79">
        <v>50000</v>
      </c>
      <c r="J24" s="79"/>
      <c r="K24" s="79">
        <v>50000</v>
      </c>
      <c r="L24" s="79"/>
      <c r="M24" s="79">
        <v>25929.98</v>
      </c>
      <c r="N24" s="79"/>
      <c r="O24" s="79">
        <f>PRODUCT(M24,0/12)</f>
        <v>0</v>
      </c>
      <c r="P24" s="79"/>
      <c r="Q24" s="79">
        <f>SUM(M24,O24)</f>
        <v>25929.98</v>
      </c>
      <c r="R24" s="79"/>
      <c r="S24" s="79">
        <v>40000</v>
      </c>
      <c r="T24" s="79"/>
      <c r="U24" s="79">
        <v>65000</v>
      </c>
      <c r="V24" s="79"/>
      <c r="W24" s="79">
        <v>55000</v>
      </c>
      <c r="X24" s="79"/>
      <c r="Y24" s="79">
        <f>SUM(W24,-I24)</f>
        <v>5000</v>
      </c>
      <c r="Z24" s="62"/>
      <c r="AA24" s="63">
        <f>IF(W24=0,"N/A",PRODUCT(Y24,1/I24))</f>
        <v>0.1</v>
      </c>
      <c r="AB24" s="62"/>
      <c r="AC24" s="79">
        <f>SUM(W24,-Q24)</f>
        <v>29070.02</v>
      </c>
      <c r="AD24" s="62"/>
      <c r="AE24" s="63">
        <f>IF(W24=0,"N/A",PRODUCT(AC24,1/Q24))</f>
        <v>1.1210968924773563</v>
      </c>
      <c r="AF24" s="57"/>
      <c r="AG24" s="57"/>
      <c r="AH24" s="57"/>
      <c r="AI24" s="57"/>
      <c r="AJ24" s="57"/>
    </row>
    <row r="25" spans="1:36" x14ac:dyDescent="0.2">
      <c r="A25" s="64" t="s">
        <v>66</v>
      </c>
      <c r="C25" s="81">
        <f>SUM(C24:C24)</f>
        <v>9459.2000000000007</v>
      </c>
      <c r="E25" s="81">
        <f>SUM(E24:E24)</f>
        <v>28333.58</v>
      </c>
      <c r="G25" s="81">
        <f>SUM(G24:G24)</f>
        <v>49016.4</v>
      </c>
      <c r="I25" s="81">
        <f>SUM(I24:I24)</f>
        <v>50000</v>
      </c>
      <c r="K25" s="81">
        <f>SUM(K24:K24)</f>
        <v>50000</v>
      </c>
      <c r="M25" s="81">
        <f>SUM(M24:M24)</f>
        <v>25929.98</v>
      </c>
      <c r="O25" s="81">
        <f>SUM(O24:O24)</f>
        <v>0</v>
      </c>
      <c r="Q25" s="81">
        <f>SUM(Q24:Q24)</f>
        <v>25929.98</v>
      </c>
      <c r="S25" s="81">
        <f>SUM(S24:S24)</f>
        <v>40000</v>
      </c>
      <c r="U25" s="81">
        <f>SUM(U24:U24)</f>
        <v>65000</v>
      </c>
      <c r="W25" s="81">
        <f>SUM(W24:W24)</f>
        <v>55000</v>
      </c>
      <c r="Y25" s="81">
        <f>SUM(Y24:Y24)</f>
        <v>5000</v>
      </c>
      <c r="Z25" s="57"/>
      <c r="AA25" s="65">
        <f>IF(W25=0,"N/A",PRODUCT(Y25,1/I25))</f>
        <v>0.1</v>
      </c>
      <c r="AB25" s="57"/>
      <c r="AC25" s="81">
        <f>SUM(AC24:AC24)</f>
        <v>29070.02</v>
      </c>
      <c r="AD25" s="57"/>
      <c r="AE25" s="65">
        <f>IF(W25=0,"N/A",PRODUCT(AC25,1/Q25))</f>
        <v>1.1210968924773563</v>
      </c>
      <c r="AF25" s="57"/>
      <c r="AG25" s="57"/>
      <c r="AH25" s="57"/>
      <c r="AI25" s="57"/>
      <c r="AJ25" s="57"/>
    </row>
    <row r="26" spans="1:36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x14ac:dyDescent="0.2">
      <c r="A27" s="54" t="s">
        <v>69</v>
      </c>
      <c r="Z27" s="57"/>
      <c r="AB27" s="57"/>
      <c r="AD27" s="57"/>
      <c r="AF27" s="57"/>
      <c r="AG27" s="57"/>
      <c r="AH27" s="57"/>
      <c r="AI27" s="57"/>
      <c r="AJ27" s="57"/>
    </row>
    <row r="28" spans="1:36" x14ac:dyDescent="0.2">
      <c r="A28" s="59" t="s">
        <v>199</v>
      </c>
      <c r="B28" s="60" t="s">
        <v>582</v>
      </c>
      <c r="C28" s="79">
        <v>0</v>
      </c>
      <c r="D28" s="80"/>
      <c r="E28" s="79">
        <v>0</v>
      </c>
      <c r="F28" s="80"/>
      <c r="G28" s="79">
        <v>0</v>
      </c>
      <c r="H28" s="79"/>
      <c r="I28" s="79">
        <v>5000</v>
      </c>
      <c r="J28" s="79"/>
      <c r="K28" s="79">
        <v>5000</v>
      </c>
      <c r="L28" s="79"/>
      <c r="M28" s="79">
        <v>0</v>
      </c>
      <c r="N28" s="79"/>
      <c r="O28" s="79">
        <f>PRODUCT(M28,0/12)</f>
        <v>0</v>
      </c>
      <c r="P28" s="79"/>
      <c r="Q28" s="79">
        <f>SUM(M28,O28)</f>
        <v>0</v>
      </c>
      <c r="R28" s="79"/>
      <c r="S28" s="79">
        <v>0</v>
      </c>
      <c r="T28" s="79"/>
      <c r="U28" s="79">
        <v>5000</v>
      </c>
      <c r="V28" s="79"/>
      <c r="W28" s="79">
        <v>1000</v>
      </c>
      <c r="X28" s="79"/>
      <c r="Y28" s="79">
        <f>SUM(W28,-I28)</f>
        <v>-4000</v>
      </c>
      <c r="Z28" s="62"/>
      <c r="AA28" s="63">
        <f>IF(W28=0,"N/A",PRODUCT(Y28,1/I28))</f>
        <v>-0.8</v>
      </c>
      <c r="AB28" s="62"/>
      <c r="AC28" s="79">
        <f>SUM(W28,-Q28)</f>
        <v>1000</v>
      </c>
      <c r="AD28" s="62"/>
      <c r="AE28" s="63" t="e">
        <f>IF(W28=0,"N/A",PRODUCT(AC28,1/Q28))</f>
        <v>#DIV/0!</v>
      </c>
      <c r="AF28" s="57"/>
      <c r="AG28" s="57"/>
      <c r="AH28" s="57"/>
      <c r="AI28" s="57"/>
      <c r="AJ28" s="57"/>
    </row>
    <row r="29" spans="1:36" x14ac:dyDescent="0.2">
      <c r="A29" s="64" t="s">
        <v>70</v>
      </c>
      <c r="C29" s="81">
        <f>SUM(C28:C28)</f>
        <v>0</v>
      </c>
      <c r="E29" s="81">
        <f>SUM(E28:E28)</f>
        <v>0</v>
      </c>
      <c r="F29" s="77"/>
      <c r="G29" s="81">
        <f>SUM(G28:G28)</f>
        <v>0</v>
      </c>
      <c r="I29" s="81">
        <f>SUM(I28:I28)</f>
        <v>5000</v>
      </c>
      <c r="K29" s="81">
        <f>SUM(K28:K28)</f>
        <v>5000</v>
      </c>
      <c r="M29" s="81">
        <f>SUM(M28:M28)</f>
        <v>0</v>
      </c>
      <c r="O29" s="81">
        <f>SUM(O28:O28)</f>
        <v>0</v>
      </c>
      <c r="Q29" s="81">
        <f>SUM(Q28:Q28)</f>
        <v>0</v>
      </c>
      <c r="S29" s="81">
        <f>SUM(S28:S28)</f>
        <v>0</v>
      </c>
      <c r="U29" s="81">
        <f>SUM(U28:U28)</f>
        <v>5000</v>
      </c>
      <c r="W29" s="81">
        <f>SUM(W28:W28)</f>
        <v>1000</v>
      </c>
      <c r="Y29" s="81">
        <f>SUM(Y28:Y28)</f>
        <v>-4000</v>
      </c>
      <c r="Z29" s="57"/>
      <c r="AA29" s="65">
        <f>IF(W29=0,"N/A",PRODUCT(Y29,1/I29))</f>
        <v>-0.8</v>
      </c>
      <c r="AB29" s="57"/>
      <c r="AC29" s="81">
        <f>SUM(AC28:AC28)</f>
        <v>1000</v>
      </c>
      <c r="AD29" s="57"/>
      <c r="AE29" s="65" t="e">
        <f>IF(W29=0,"N/A",PRODUCT(AC29,1/Q29))</f>
        <v>#DIV/0!</v>
      </c>
      <c r="AF29" s="57"/>
      <c r="AG29" s="57"/>
      <c r="AH29" s="57"/>
      <c r="AI29" s="57"/>
      <c r="AJ29" s="57"/>
    </row>
    <row r="30" spans="1:36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3.5" thickBot="1" x14ac:dyDescent="0.25">
      <c r="A31" s="67" t="s">
        <v>186</v>
      </c>
      <c r="C31" s="83">
        <f>SUM(C14,C21,C25,C29)</f>
        <v>853247.57999999984</v>
      </c>
      <c r="E31" s="83">
        <f>SUM(E14,E21,E25,E29)</f>
        <v>950445.62</v>
      </c>
      <c r="G31" s="83">
        <f>SUM(G14,G21,G25,G29)</f>
        <v>1051842.92</v>
      </c>
      <c r="I31" s="83">
        <f>SUM(I14,I21,I25,I29)</f>
        <v>1122300</v>
      </c>
      <c r="K31" s="83">
        <f>SUM(K14,K21,K25,K29)</f>
        <v>1122300</v>
      </c>
      <c r="M31" s="82">
        <f>SUM(M14,M21,M25,M29)</f>
        <v>1123054.04</v>
      </c>
      <c r="O31" s="82">
        <f>SUM(O14,O21,O25,O29)</f>
        <v>0</v>
      </c>
      <c r="Q31" s="83">
        <f>SUM(Q14,Q21,Q25,Q29)</f>
        <v>1123054.04</v>
      </c>
      <c r="S31" s="82">
        <f>SUM(S14,S21,S25,S29)</f>
        <v>1165000</v>
      </c>
      <c r="U31" s="82">
        <f>SUM(U14,U21,U25,U29)</f>
        <v>1252000</v>
      </c>
      <c r="W31" s="83">
        <f>SUM(W14,W21,W25,W29)</f>
        <v>1275610</v>
      </c>
      <c r="Y31" s="82">
        <f>SUM(Y14,Y21,Y25,Y29)</f>
        <v>153309.99999999991</v>
      </c>
      <c r="Z31" s="57"/>
      <c r="AA31" s="125">
        <f>IF(W31=0,"N/A",PRODUCT(Y31,1/I31))</f>
        <v>0.13660340372449425</v>
      </c>
      <c r="AB31" s="57"/>
      <c r="AC31" s="82">
        <f>SUM(AC14,AC21,AC25,AC29)</f>
        <v>152555.9599999999</v>
      </c>
      <c r="AD31" s="57"/>
      <c r="AE31" s="125">
        <f>IF(W31=0,"N/A",PRODUCT(AC31,1/Q31))</f>
        <v>0.13584026642208588</v>
      </c>
      <c r="AF31" s="57"/>
      <c r="AG31" s="57"/>
      <c r="AH31" s="57"/>
      <c r="AI31" s="57"/>
      <c r="AJ31" s="57"/>
    </row>
    <row r="32" spans="1:36" ht="13.5" thickTop="1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  <row r="97" spans="26:36" x14ac:dyDescent="0.2">
      <c r="Z97" s="57"/>
      <c r="AB97" s="57"/>
      <c r="AD97" s="57"/>
      <c r="AF97" s="57"/>
      <c r="AG97" s="57"/>
      <c r="AH97" s="57"/>
      <c r="AI97" s="57"/>
      <c r="AJ97" s="57"/>
    </row>
    <row r="98" spans="26:36" x14ac:dyDescent="0.2">
      <c r="Z98" s="57"/>
      <c r="AB98" s="57"/>
      <c r="AD98" s="57"/>
      <c r="AF98" s="57"/>
      <c r="AG98" s="57"/>
      <c r="AH98" s="57"/>
      <c r="AI98" s="57"/>
      <c r="AJ98" s="57"/>
    </row>
    <row r="99" spans="26:36" x14ac:dyDescent="0.2">
      <c r="Z99" s="57"/>
      <c r="AB99" s="57"/>
      <c r="AD99" s="57"/>
      <c r="AF99" s="57"/>
      <c r="AG99" s="57"/>
      <c r="AH99" s="57"/>
      <c r="AI99" s="57"/>
      <c r="AJ99" s="57"/>
    </row>
  </sheetData>
  <pageMargins left="0.7" right="0.7" top="0.75" bottom="0.75" header="0.3" footer="0.3"/>
  <ignoredErrors>
    <ignoredError sqref="W18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224E-101D-44FD-B81B-B8A54C4948A7}">
  <sheetPr>
    <tabColor rgb="FF92D050"/>
  </sheetPr>
  <dimension ref="A1:AJ8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200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G4" s="52"/>
      <c r="AH4" s="52"/>
      <c r="AI4" s="52"/>
      <c r="AJ4" s="52"/>
    </row>
    <row r="5" spans="1:36" x14ac:dyDescent="0.2">
      <c r="A5" s="59" t="s">
        <v>202</v>
      </c>
      <c r="B5" s="60" t="s">
        <v>614</v>
      </c>
      <c r="C5" s="79">
        <v>395000</v>
      </c>
      <c r="D5" s="80"/>
      <c r="E5" s="79">
        <v>415000</v>
      </c>
      <c r="F5" s="80"/>
      <c r="G5" s="79">
        <v>430000</v>
      </c>
      <c r="H5" s="79"/>
      <c r="I5" s="79">
        <v>445000</v>
      </c>
      <c r="J5" s="79"/>
      <c r="K5" s="79">
        <v>445000</v>
      </c>
      <c r="L5" s="79"/>
      <c r="M5" s="79">
        <v>445000</v>
      </c>
      <c r="N5" s="79"/>
      <c r="O5" s="79">
        <v>0</v>
      </c>
      <c r="P5" s="79"/>
      <c r="Q5" s="79">
        <f t="shared" ref="Q5:Q19" si="0">SUM(M5,O5)</f>
        <v>445000</v>
      </c>
      <c r="R5" s="79"/>
      <c r="S5" s="79">
        <v>465000</v>
      </c>
      <c r="T5" s="79"/>
      <c r="U5" s="79">
        <v>465000</v>
      </c>
      <c r="V5" s="79"/>
      <c r="W5" s="79">
        <v>465000</v>
      </c>
      <c r="X5" s="79"/>
      <c r="Y5" s="79">
        <f t="shared" ref="Y5:Y19" si="1">SUM(W5,-I5)</f>
        <v>20000</v>
      </c>
      <c r="Z5" s="62"/>
      <c r="AA5" s="63">
        <f t="shared" ref="AA5:AA19" si="2">IF(W5=0,"N/A",PRODUCT(Y5,1/I5))</f>
        <v>4.49438202247191E-2</v>
      </c>
      <c r="AB5" s="62"/>
      <c r="AC5" s="79">
        <f t="shared" ref="AC5:AC19" si="3">SUM(W5,-Q5)</f>
        <v>20000</v>
      </c>
      <c r="AD5" s="62"/>
      <c r="AE5" s="63">
        <f t="shared" ref="AE5:AE19" si="4">IF(W5=0,"N/A",PRODUCT(AC5,1/Q5))</f>
        <v>4.49438202247191E-2</v>
      </c>
      <c r="AF5" s="57"/>
      <c r="AG5" s="57"/>
      <c r="AH5" s="57"/>
      <c r="AI5" s="57"/>
      <c r="AJ5" s="57"/>
    </row>
    <row r="6" spans="1:36" x14ac:dyDescent="0.2">
      <c r="A6" s="55" t="s">
        <v>203</v>
      </c>
      <c r="B6" s="56" t="s">
        <v>615</v>
      </c>
      <c r="C6" s="77">
        <v>142874.04</v>
      </c>
      <c r="E6" s="77">
        <v>132108</v>
      </c>
      <c r="G6" s="77">
        <v>115342</v>
      </c>
      <c r="I6" s="77">
        <v>97970</v>
      </c>
      <c r="K6" s="77">
        <v>97970</v>
      </c>
      <c r="M6" s="77">
        <v>97776.98</v>
      </c>
      <c r="O6" s="77">
        <v>0</v>
      </c>
      <c r="Q6" s="77">
        <f t="shared" si="0"/>
        <v>97776.98</v>
      </c>
      <c r="S6" s="77">
        <v>80000</v>
      </c>
      <c r="U6" s="77">
        <v>80000</v>
      </c>
      <c r="W6" s="77">
        <v>80000</v>
      </c>
      <c r="Y6" s="77">
        <f t="shared" si="1"/>
        <v>-17970</v>
      </c>
      <c r="Z6" s="57"/>
      <c r="AA6" s="58">
        <f t="shared" si="2"/>
        <v>-0.18342349698887414</v>
      </c>
      <c r="AB6" s="57"/>
      <c r="AC6" s="77">
        <f t="shared" si="3"/>
        <v>-17776.979999999996</v>
      </c>
      <c r="AD6" s="57"/>
      <c r="AE6" s="58">
        <f t="shared" si="4"/>
        <v>-0.18181150614387964</v>
      </c>
      <c r="AF6" s="57"/>
      <c r="AG6" s="57"/>
      <c r="AH6" s="57"/>
      <c r="AI6" s="57"/>
      <c r="AJ6" s="57"/>
    </row>
    <row r="7" spans="1:36" x14ac:dyDescent="0.2">
      <c r="A7" s="59" t="s">
        <v>204</v>
      </c>
      <c r="B7" s="60" t="s">
        <v>616</v>
      </c>
      <c r="C7" s="79">
        <v>30486.87</v>
      </c>
      <c r="D7" s="80"/>
      <c r="E7" s="79">
        <v>0</v>
      </c>
      <c r="F7" s="80"/>
      <c r="G7" s="79">
        <v>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v>0</v>
      </c>
      <c r="P7" s="79"/>
      <c r="Q7" s="79">
        <f t="shared" si="0"/>
        <v>0</v>
      </c>
      <c r="R7" s="79"/>
      <c r="S7" s="79">
        <v>0</v>
      </c>
      <c r="T7" s="79"/>
      <c r="U7" s="79">
        <v>0</v>
      </c>
      <c r="V7" s="79"/>
      <c r="W7" s="79">
        <v>0</v>
      </c>
      <c r="X7" s="79"/>
      <c r="Y7" s="79">
        <f t="shared" si="1"/>
        <v>0</v>
      </c>
      <c r="Z7" s="62"/>
      <c r="AA7" s="63" t="str">
        <f t="shared" si="2"/>
        <v>N/A</v>
      </c>
      <c r="AB7" s="62"/>
      <c r="AC7" s="79">
        <f t="shared" si="3"/>
        <v>0</v>
      </c>
      <c r="AD7" s="62"/>
      <c r="AE7" s="63" t="str">
        <f t="shared" si="4"/>
        <v>N/A</v>
      </c>
      <c r="AF7" s="57"/>
      <c r="AG7" s="57"/>
      <c r="AH7" s="57"/>
      <c r="AI7" s="57"/>
      <c r="AJ7" s="57"/>
    </row>
    <row r="8" spans="1:36" x14ac:dyDescent="0.2">
      <c r="A8" s="55" t="s">
        <v>205</v>
      </c>
      <c r="B8" s="56" t="s">
        <v>618</v>
      </c>
      <c r="C8" s="77">
        <v>125247.5</v>
      </c>
      <c r="E8" s="77">
        <v>122885</v>
      </c>
      <c r="G8" s="77">
        <v>119935</v>
      </c>
      <c r="I8" s="77">
        <v>117000</v>
      </c>
      <c r="K8" s="77">
        <v>117000</v>
      </c>
      <c r="M8" s="77">
        <v>116935</v>
      </c>
      <c r="O8" s="77">
        <v>0</v>
      </c>
      <c r="Q8" s="77">
        <f t="shared" si="0"/>
        <v>116935</v>
      </c>
      <c r="S8" s="77">
        <v>115000</v>
      </c>
      <c r="U8" s="77">
        <v>115000</v>
      </c>
      <c r="W8" s="77">
        <v>115000</v>
      </c>
      <c r="Y8" s="77">
        <f t="shared" si="1"/>
        <v>-2000</v>
      </c>
      <c r="Z8" s="57"/>
      <c r="AA8" s="58">
        <f t="shared" si="2"/>
        <v>-1.7094017094017096E-2</v>
      </c>
      <c r="AB8" s="57"/>
      <c r="AC8" s="77">
        <f t="shared" si="3"/>
        <v>-1935</v>
      </c>
      <c r="AD8" s="57"/>
      <c r="AE8" s="58">
        <f t="shared" si="4"/>
        <v>-1.65476546799504E-2</v>
      </c>
      <c r="AF8" s="57"/>
      <c r="AG8" s="57"/>
      <c r="AH8" s="57"/>
      <c r="AI8" s="57"/>
      <c r="AJ8" s="57"/>
    </row>
    <row r="9" spans="1:36" x14ac:dyDescent="0.2">
      <c r="A9" s="59" t="s">
        <v>206</v>
      </c>
      <c r="B9" s="60" t="s">
        <v>619</v>
      </c>
      <c r="C9" s="79">
        <v>140000</v>
      </c>
      <c r="D9" s="80"/>
      <c r="E9" s="79">
        <v>145000</v>
      </c>
      <c r="F9" s="80"/>
      <c r="G9" s="79">
        <v>150000</v>
      </c>
      <c r="H9" s="79"/>
      <c r="I9" s="79">
        <v>150000</v>
      </c>
      <c r="J9" s="79"/>
      <c r="K9" s="79">
        <v>150000</v>
      </c>
      <c r="L9" s="79"/>
      <c r="M9" s="79">
        <v>150000</v>
      </c>
      <c r="N9" s="79"/>
      <c r="O9" s="79">
        <v>0</v>
      </c>
      <c r="P9" s="79"/>
      <c r="Q9" s="79">
        <f t="shared" si="0"/>
        <v>150000</v>
      </c>
      <c r="R9" s="79"/>
      <c r="S9" s="79">
        <v>155000</v>
      </c>
      <c r="T9" s="79"/>
      <c r="U9" s="79">
        <v>155000</v>
      </c>
      <c r="V9" s="79"/>
      <c r="W9" s="79">
        <v>155000</v>
      </c>
      <c r="X9" s="79"/>
      <c r="Y9" s="79">
        <f t="shared" si="1"/>
        <v>5000</v>
      </c>
      <c r="Z9" s="62"/>
      <c r="AA9" s="63">
        <f t="shared" si="2"/>
        <v>3.3333333333333333E-2</v>
      </c>
      <c r="AB9" s="62"/>
      <c r="AC9" s="79">
        <f t="shared" si="3"/>
        <v>5000</v>
      </c>
      <c r="AD9" s="62"/>
      <c r="AE9" s="63">
        <f t="shared" si="4"/>
        <v>3.3333333333333333E-2</v>
      </c>
      <c r="AF9" s="57"/>
      <c r="AG9" s="57"/>
      <c r="AH9" s="57"/>
      <c r="AI9" s="57"/>
      <c r="AJ9" s="57"/>
    </row>
    <row r="10" spans="1:36" x14ac:dyDescent="0.2">
      <c r="A10" s="55" t="s">
        <v>207</v>
      </c>
      <c r="B10" s="56" t="s">
        <v>620</v>
      </c>
      <c r="C10" s="77">
        <v>85387.5</v>
      </c>
      <c r="E10" s="77">
        <v>82700</v>
      </c>
      <c r="G10" s="77">
        <v>77750</v>
      </c>
      <c r="I10" s="77">
        <v>72650</v>
      </c>
      <c r="K10" s="77">
        <v>72650</v>
      </c>
      <c r="M10" s="77">
        <v>72650</v>
      </c>
      <c r="O10" s="77">
        <v>0</v>
      </c>
      <c r="Q10" s="77">
        <f t="shared" si="0"/>
        <v>72650</v>
      </c>
      <c r="S10" s="77">
        <v>67500</v>
      </c>
      <c r="U10" s="77">
        <v>67500</v>
      </c>
      <c r="W10" s="77">
        <v>67500</v>
      </c>
      <c r="Y10" s="77">
        <f t="shared" si="1"/>
        <v>-5150</v>
      </c>
      <c r="Z10" s="57"/>
      <c r="AA10" s="58">
        <f t="shared" si="2"/>
        <v>-7.0887818306951136E-2</v>
      </c>
      <c r="AB10" s="57"/>
      <c r="AC10" s="77">
        <f t="shared" si="3"/>
        <v>-5150</v>
      </c>
      <c r="AD10" s="57"/>
      <c r="AE10" s="58">
        <f t="shared" si="4"/>
        <v>-7.0887818306951136E-2</v>
      </c>
      <c r="AF10" s="57"/>
      <c r="AG10" s="57"/>
      <c r="AH10" s="57"/>
      <c r="AI10" s="57"/>
      <c r="AJ10" s="57"/>
    </row>
    <row r="11" spans="1:36" x14ac:dyDescent="0.2">
      <c r="A11" s="59" t="s">
        <v>208</v>
      </c>
      <c r="B11" s="60" t="s">
        <v>621</v>
      </c>
      <c r="C11" s="79">
        <v>165000</v>
      </c>
      <c r="D11" s="80"/>
      <c r="E11" s="79">
        <v>165000</v>
      </c>
      <c r="F11" s="80"/>
      <c r="G11" s="79">
        <v>170000</v>
      </c>
      <c r="H11" s="79"/>
      <c r="I11" s="79">
        <v>175000</v>
      </c>
      <c r="J11" s="79"/>
      <c r="K11" s="79">
        <v>175000</v>
      </c>
      <c r="L11" s="79"/>
      <c r="M11" s="79">
        <v>175000</v>
      </c>
      <c r="N11" s="79"/>
      <c r="O11" s="79">
        <v>0</v>
      </c>
      <c r="P11" s="79"/>
      <c r="Q11" s="79">
        <f t="shared" si="0"/>
        <v>175000</v>
      </c>
      <c r="R11" s="79"/>
      <c r="S11" s="79">
        <v>185000</v>
      </c>
      <c r="T11" s="79"/>
      <c r="U11" s="79">
        <v>185000</v>
      </c>
      <c r="V11" s="79"/>
      <c r="W11" s="79">
        <v>185000</v>
      </c>
      <c r="X11" s="79"/>
      <c r="Y11" s="79">
        <f t="shared" si="1"/>
        <v>10000</v>
      </c>
      <c r="Z11" s="62"/>
      <c r="AA11" s="63">
        <f t="shared" si="2"/>
        <v>5.7142857142857148E-2</v>
      </c>
      <c r="AB11" s="62"/>
      <c r="AC11" s="79">
        <f t="shared" si="3"/>
        <v>10000</v>
      </c>
      <c r="AD11" s="62"/>
      <c r="AE11" s="63">
        <f t="shared" si="4"/>
        <v>5.7142857142857148E-2</v>
      </c>
      <c r="AF11" s="57"/>
      <c r="AG11" s="57"/>
      <c r="AH11" s="57"/>
      <c r="AI11" s="57"/>
      <c r="AJ11" s="57"/>
    </row>
    <row r="12" spans="1:36" x14ac:dyDescent="0.2">
      <c r="A12" s="55" t="s">
        <v>209</v>
      </c>
      <c r="B12" s="56" t="s">
        <v>622</v>
      </c>
      <c r="C12" s="77">
        <v>0</v>
      </c>
      <c r="E12" s="77">
        <v>0</v>
      </c>
      <c r="G12" s="77">
        <v>250000</v>
      </c>
      <c r="I12" s="77">
        <v>260000</v>
      </c>
      <c r="K12" s="77">
        <v>260000</v>
      </c>
      <c r="M12" s="77">
        <v>260000</v>
      </c>
      <c r="O12" s="77">
        <v>0</v>
      </c>
      <c r="Q12" s="77">
        <f t="shared" si="0"/>
        <v>260000</v>
      </c>
      <c r="S12" s="77">
        <v>270000</v>
      </c>
      <c r="U12" s="77">
        <v>270000</v>
      </c>
      <c r="W12" s="77">
        <v>270000</v>
      </c>
      <c r="Y12" s="77">
        <f t="shared" si="1"/>
        <v>10000</v>
      </c>
      <c r="Z12" s="57"/>
      <c r="AA12" s="58">
        <f t="shared" si="2"/>
        <v>3.8461538461538457E-2</v>
      </c>
      <c r="AB12" s="57"/>
      <c r="AC12" s="77">
        <f t="shared" si="3"/>
        <v>10000</v>
      </c>
      <c r="AD12" s="57"/>
      <c r="AE12" s="58">
        <f t="shared" si="4"/>
        <v>3.8461538461538457E-2</v>
      </c>
      <c r="AF12" s="57"/>
      <c r="AG12" s="57"/>
      <c r="AH12" s="57"/>
      <c r="AI12" s="57"/>
      <c r="AJ12" s="57"/>
    </row>
    <row r="13" spans="1:36" x14ac:dyDescent="0.2">
      <c r="A13" s="59" t="s">
        <v>210</v>
      </c>
      <c r="B13" s="60" t="s">
        <v>623</v>
      </c>
      <c r="C13" s="79">
        <v>141163.06</v>
      </c>
      <c r="D13" s="80"/>
      <c r="E13" s="79">
        <v>156850</v>
      </c>
      <c r="F13" s="80"/>
      <c r="G13" s="79">
        <v>156850</v>
      </c>
      <c r="H13" s="79"/>
      <c r="I13" s="79">
        <v>147000</v>
      </c>
      <c r="J13" s="79"/>
      <c r="K13" s="79">
        <v>147000</v>
      </c>
      <c r="L13" s="79"/>
      <c r="M13" s="79">
        <v>146850</v>
      </c>
      <c r="N13" s="79"/>
      <c r="O13" s="79">
        <v>0</v>
      </c>
      <c r="P13" s="79"/>
      <c r="Q13" s="79">
        <f t="shared" si="0"/>
        <v>146850</v>
      </c>
      <c r="R13" s="79"/>
      <c r="S13" s="79">
        <v>136500</v>
      </c>
      <c r="T13" s="79"/>
      <c r="U13" s="79">
        <v>136500</v>
      </c>
      <c r="V13" s="79"/>
      <c r="W13" s="79">
        <v>136500</v>
      </c>
      <c r="X13" s="79"/>
      <c r="Y13" s="79">
        <f t="shared" si="1"/>
        <v>-10500</v>
      </c>
      <c r="Z13" s="62"/>
      <c r="AA13" s="63">
        <f t="shared" si="2"/>
        <v>-7.1428571428571438E-2</v>
      </c>
      <c r="AB13" s="62"/>
      <c r="AC13" s="79">
        <f t="shared" si="3"/>
        <v>-10350</v>
      </c>
      <c r="AD13" s="62"/>
      <c r="AE13" s="63">
        <f t="shared" si="4"/>
        <v>-7.0480081716036772E-2</v>
      </c>
      <c r="AF13" s="57"/>
      <c r="AG13" s="57"/>
      <c r="AH13" s="57"/>
      <c r="AI13" s="57"/>
      <c r="AJ13" s="57"/>
    </row>
    <row r="14" spans="1:36" x14ac:dyDescent="0.2">
      <c r="A14" s="55" t="s">
        <v>211</v>
      </c>
      <c r="B14" s="56" t="s">
        <v>624</v>
      </c>
      <c r="C14" s="77">
        <v>0</v>
      </c>
      <c r="E14" s="77">
        <v>175000</v>
      </c>
      <c r="G14" s="77">
        <v>180000</v>
      </c>
      <c r="I14" s="77">
        <v>190000</v>
      </c>
      <c r="K14" s="77">
        <v>190000</v>
      </c>
      <c r="M14" s="77">
        <v>190000</v>
      </c>
      <c r="O14" s="77">
        <v>0</v>
      </c>
      <c r="Q14" s="77">
        <f t="shared" si="0"/>
        <v>190000</v>
      </c>
      <c r="S14" s="77">
        <v>200000</v>
      </c>
      <c r="U14" s="77">
        <v>200000</v>
      </c>
      <c r="W14" s="77">
        <v>200000</v>
      </c>
      <c r="Y14" s="77">
        <f t="shared" si="1"/>
        <v>10000</v>
      </c>
      <c r="Z14" s="57"/>
      <c r="AA14" s="58">
        <f t="shared" si="2"/>
        <v>5.2631578947368425E-2</v>
      </c>
      <c r="AB14" s="57"/>
      <c r="AC14" s="77">
        <f t="shared" si="3"/>
        <v>10000</v>
      </c>
      <c r="AD14" s="57"/>
      <c r="AE14" s="58">
        <f t="shared" si="4"/>
        <v>5.2631578947368425E-2</v>
      </c>
      <c r="AF14" s="57"/>
      <c r="AG14" s="57"/>
      <c r="AH14" s="57"/>
      <c r="AI14" s="57"/>
      <c r="AJ14" s="57"/>
    </row>
    <row r="15" spans="1:36" x14ac:dyDescent="0.2">
      <c r="A15" s="59" t="s">
        <v>212</v>
      </c>
      <c r="B15" s="60" t="s">
        <v>625</v>
      </c>
      <c r="C15" s="79">
        <v>38455.699999999997</v>
      </c>
      <c r="D15" s="80"/>
      <c r="E15" s="79">
        <v>68700</v>
      </c>
      <c r="F15" s="80"/>
      <c r="G15" s="79">
        <v>61600</v>
      </c>
      <c r="H15" s="79"/>
      <c r="I15" s="79">
        <v>54200</v>
      </c>
      <c r="J15" s="79"/>
      <c r="K15" s="79">
        <v>54200</v>
      </c>
      <c r="L15" s="79"/>
      <c r="M15" s="79">
        <v>54200</v>
      </c>
      <c r="N15" s="79"/>
      <c r="O15" s="79">
        <v>0</v>
      </c>
      <c r="P15" s="79"/>
      <c r="Q15" s="79">
        <f t="shared" si="0"/>
        <v>54200</v>
      </c>
      <c r="R15" s="79"/>
      <c r="S15" s="79">
        <v>48500</v>
      </c>
      <c r="T15" s="79"/>
      <c r="U15" s="79">
        <v>48500</v>
      </c>
      <c r="V15" s="79"/>
      <c r="W15" s="79">
        <v>48500</v>
      </c>
      <c r="X15" s="79"/>
      <c r="Y15" s="79">
        <f t="shared" si="1"/>
        <v>-5700</v>
      </c>
      <c r="Z15" s="62"/>
      <c r="AA15" s="63">
        <f t="shared" si="2"/>
        <v>-0.10516605166051661</v>
      </c>
      <c r="AB15" s="62"/>
      <c r="AC15" s="79">
        <f t="shared" si="3"/>
        <v>-5700</v>
      </c>
      <c r="AD15" s="62"/>
      <c r="AE15" s="63">
        <f t="shared" si="4"/>
        <v>-0.10516605166051661</v>
      </c>
      <c r="AF15" s="57"/>
      <c r="AG15" s="57"/>
      <c r="AH15" s="57"/>
      <c r="AI15" s="57"/>
      <c r="AJ15" s="57"/>
    </row>
    <row r="16" spans="1:36" x14ac:dyDescent="0.2">
      <c r="A16" s="55" t="s">
        <v>213</v>
      </c>
      <c r="B16" s="56" t="s">
        <v>626</v>
      </c>
      <c r="C16" s="77">
        <v>400</v>
      </c>
      <c r="E16" s="77">
        <v>2006.25</v>
      </c>
      <c r="G16" s="77">
        <v>2006.25</v>
      </c>
      <c r="I16" s="77">
        <v>2000</v>
      </c>
      <c r="K16" s="77">
        <v>2000</v>
      </c>
      <c r="M16" s="77">
        <v>800</v>
      </c>
      <c r="O16" s="77">
        <v>0</v>
      </c>
      <c r="Q16" s="77">
        <f t="shared" si="0"/>
        <v>800</v>
      </c>
      <c r="S16" s="77">
        <v>2100</v>
      </c>
      <c r="U16" s="77">
        <v>2100</v>
      </c>
      <c r="W16" s="77">
        <v>2100</v>
      </c>
      <c r="Y16" s="77">
        <f t="shared" si="1"/>
        <v>100</v>
      </c>
      <c r="Z16" s="57"/>
      <c r="AA16" s="58">
        <f t="shared" si="2"/>
        <v>0.05</v>
      </c>
      <c r="AB16" s="57"/>
      <c r="AC16" s="77">
        <f t="shared" si="3"/>
        <v>1300</v>
      </c>
      <c r="AD16" s="57"/>
      <c r="AE16" s="58">
        <f t="shared" si="4"/>
        <v>1.625</v>
      </c>
      <c r="AF16" s="57"/>
      <c r="AG16" s="57"/>
      <c r="AH16" s="57"/>
      <c r="AI16" s="57"/>
      <c r="AJ16" s="57"/>
    </row>
    <row r="17" spans="1:36" x14ac:dyDescent="0.2">
      <c r="A17" s="59" t="s">
        <v>214</v>
      </c>
      <c r="B17" s="60" t="s">
        <v>627</v>
      </c>
      <c r="C17" s="79">
        <v>49530.01</v>
      </c>
      <c r="D17" s="80"/>
      <c r="E17" s="79">
        <v>0</v>
      </c>
      <c r="F17" s="80"/>
      <c r="G17" s="79">
        <v>0</v>
      </c>
      <c r="H17" s="79"/>
      <c r="I17" s="79">
        <v>0</v>
      </c>
      <c r="J17" s="79"/>
      <c r="K17" s="79">
        <v>0</v>
      </c>
      <c r="L17" s="79"/>
      <c r="M17" s="79">
        <v>0</v>
      </c>
      <c r="N17" s="79"/>
      <c r="O17" s="79">
        <v>0</v>
      </c>
      <c r="P17" s="79"/>
      <c r="Q17" s="79">
        <f t="shared" si="0"/>
        <v>0</v>
      </c>
      <c r="R17" s="79"/>
      <c r="S17" s="79">
        <v>0</v>
      </c>
      <c r="T17" s="79"/>
      <c r="U17" s="79">
        <v>0</v>
      </c>
      <c r="V17" s="79"/>
      <c r="W17" s="79">
        <v>0</v>
      </c>
      <c r="X17" s="79"/>
      <c r="Y17" s="79">
        <f t="shared" si="1"/>
        <v>0</v>
      </c>
      <c r="Z17" s="62"/>
      <c r="AA17" s="63" t="str">
        <f t="shared" si="2"/>
        <v>N/A</v>
      </c>
      <c r="AB17" s="62"/>
      <c r="AC17" s="79">
        <f t="shared" si="3"/>
        <v>0</v>
      </c>
      <c r="AD17" s="62"/>
      <c r="AE17" s="63" t="str">
        <f t="shared" si="4"/>
        <v>N/A</v>
      </c>
      <c r="AF17" s="57"/>
      <c r="AG17" s="57"/>
      <c r="AH17" s="57"/>
      <c r="AI17" s="57"/>
      <c r="AJ17" s="57"/>
    </row>
    <row r="18" spans="1:36" x14ac:dyDescent="0.2">
      <c r="A18" s="55" t="s">
        <v>215</v>
      </c>
      <c r="B18" s="56" t="s">
        <v>628</v>
      </c>
      <c r="C18" s="77">
        <v>135972.09</v>
      </c>
      <c r="E18" s="77">
        <v>0</v>
      </c>
      <c r="G18" s="77">
        <v>0</v>
      </c>
      <c r="I18" s="77">
        <v>0</v>
      </c>
      <c r="K18" s="77">
        <v>0</v>
      </c>
      <c r="M18" s="77">
        <v>0</v>
      </c>
      <c r="O18" s="77">
        <v>0</v>
      </c>
      <c r="Q18" s="77">
        <f t="shared" si="0"/>
        <v>0</v>
      </c>
      <c r="S18" s="77">
        <v>0</v>
      </c>
      <c r="U18" s="77">
        <v>0</v>
      </c>
      <c r="W18" s="77">
        <v>0</v>
      </c>
      <c r="Y18" s="77">
        <f t="shared" si="1"/>
        <v>0</v>
      </c>
      <c r="Z18" s="57"/>
      <c r="AA18" s="58" t="str">
        <f t="shared" si="2"/>
        <v>N/A</v>
      </c>
      <c r="AB18" s="57"/>
      <c r="AC18" s="77">
        <f t="shared" si="3"/>
        <v>0</v>
      </c>
      <c r="AD18" s="57"/>
      <c r="AE18" s="58" t="str">
        <f t="shared" si="4"/>
        <v>N/A</v>
      </c>
      <c r="AF18" s="57"/>
      <c r="AG18" s="57"/>
      <c r="AH18" s="57"/>
      <c r="AI18" s="57"/>
      <c r="AJ18" s="57"/>
    </row>
    <row r="19" spans="1:36" x14ac:dyDescent="0.2">
      <c r="A19" s="59" t="s">
        <v>216</v>
      </c>
      <c r="B19" s="60" t="s">
        <v>574</v>
      </c>
      <c r="C19" s="79">
        <v>0</v>
      </c>
      <c r="D19" s="80"/>
      <c r="E19" s="79">
        <v>-65796.47</v>
      </c>
      <c r="F19" s="80"/>
      <c r="G19" s="79">
        <v>-63242</v>
      </c>
      <c r="H19" s="79"/>
      <c r="I19" s="79">
        <v>0</v>
      </c>
      <c r="J19" s="79"/>
      <c r="K19" s="79">
        <v>0</v>
      </c>
      <c r="L19" s="79"/>
      <c r="M19" s="79">
        <v>0</v>
      </c>
      <c r="N19" s="79"/>
      <c r="O19" s="79">
        <v>0</v>
      </c>
      <c r="P19" s="79"/>
      <c r="Q19" s="79">
        <f t="shared" si="0"/>
        <v>0</v>
      </c>
      <c r="R19" s="79"/>
      <c r="S19" s="79">
        <v>0</v>
      </c>
      <c r="T19" s="79"/>
      <c r="U19" s="79">
        <v>0</v>
      </c>
      <c r="V19" s="79"/>
      <c r="W19" s="79">
        <v>0</v>
      </c>
      <c r="X19" s="79"/>
      <c r="Y19" s="79">
        <f t="shared" si="1"/>
        <v>0</v>
      </c>
      <c r="Z19" s="62"/>
      <c r="AA19" s="63" t="str">
        <f t="shared" si="2"/>
        <v>N/A</v>
      </c>
      <c r="AB19" s="62"/>
      <c r="AC19" s="79">
        <f t="shared" si="3"/>
        <v>0</v>
      </c>
      <c r="AD19" s="62"/>
      <c r="AE19" s="63" t="str">
        <f t="shared" si="4"/>
        <v>N/A</v>
      </c>
      <c r="AF19" s="57"/>
      <c r="AG19" s="57"/>
      <c r="AH19" s="57"/>
      <c r="AI19" s="57"/>
      <c r="AJ19" s="57"/>
    </row>
    <row r="20" spans="1:36" x14ac:dyDescent="0.2">
      <c r="Z20" s="57"/>
      <c r="AA20" s="58"/>
      <c r="AB20" s="57"/>
      <c r="AD20" s="57"/>
      <c r="AE20" s="58"/>
      <c r="AF20" s="57"/>
      <c r="AG20" s="57"/>
      <c r="AH20" s="57"/>
      <c r="AI20" s="57"/>
      <c r="AJ20" s="57"/>
    </row>
    <row r="21" spans="1:36" ht="13.5" thickBot="1" x14ac:dyDescent="0.25">
      <c r="A21" s="67" t="s">
        <v>201</v>
      </c>
      <c r="C21" s="83">
        <f>SUM(C5:C19)</f>
        <v>1449516.7700000003</v>
      </c>
      <c r="E21" s="83">
        <f>SUM(E5:E19)</f>
        <v>1399452.78</v>
      </c>
      <c r="G21" s="83">
        <f>SUM(G5:G19)</f>
        <v>1650241.25</v>
      </c>
      <c r="I21" s="83">
        <f>SUM(I5:I19)</f>
        <v>1710820</v>
      </c>
      <c r="K21" s="83">
        <f>SUM(K5:K19)</f>
        <v>1710820</v>
      </c>
      <c r="M21" s="82">
        <f>SUM(M5:M20)</f>
        <v>1709211.98</v>
      </c>
      <c r="O21" s="82">
        <f>SUM(O5:O19)</f>
        <v>0</v>
      </c>
      <c r="Q21" s="83">
        <f>SUM(Q5:Q19)</f>
        <v>1709211.98</v>
      </c>
      <c r="S21" s="82">
        <f>SUM(S5:S19)</f>
        <v>1724600</v>
      </c>
      <c r="U21" s="82">
        <f>SUM(U5:U19)</f>
        <v>1724600</v>
      </c>
      <c r="W21" s="83">
        <f>SUM(W5:W19)</f>
        <v>1724600</v>
      </c>
      <c r="Y21" s="82">
        <f>SUM(Y5:Y19)</f>
        <v>13780</v>
      </c>
      <c r="Z21" s="57"/>
      <c r="AA21" s="125">
        <f>IF(W21=0,"N/A",PRODUCT(Y21,1/I21))</f>
        <v>8.0546170842052348E-3</v>
      </c>
      <c r="AB21" s="57"/>
      <c r="AC21" s="82">
        <f>SUM(AC5:AC19)</f>
        <v>15388.020000000004</v>
      </c>
      <c r="AD21" s="57"/>
      <c r="AE21" s="125">
        <f>IF(W21=0,"N/A",PRODUCT(AC21,1/Q21))</f>
        <v>9.0029909572714346E-3</v>
      </c>
      <c r="AF21" s="57"/>
      <c r="AG21" s="57"/>
      <c r="AH21" s="57"/>
      <c r="AI21" s="57"/>
      <c r="AJ21" s="57"/>
    </row>
    <row r="22" spans="1:36" ht="13.5" thickTop="1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x14ac:dyDescent="0.2">
      <c r="Z23" s="57"/>
      <c r="AB23" s="57"/>
      <c r="AD23" s="57"/>
      <c r="AF23" s="57"/>
      <c r="AG23" s="57"/>
      <c r="AH23" s="57"/>
      <c r="AI23" s="57"/>
      <c r="AJ23" s="57"/>
    </row>
    <row r="24" spans="1:36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x14ac:dyDescent="0.2">
      <c r="Z27" s="57"/>
      <c r="AB27" s="57"/>
      <c r="AD27" s="57"/>
      <c r="AF27" s="57"/>
      <c r="AG27" s="57"/>
      <c r="AH27" s="57"/>
      <c r="AI27" s="57"/>
      <c r="AJ27" s="57"/>
    </row>
    <row r="28" spans="1:36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x14ac:dyDescent="0.2">
      <c r="Z29" s="57"/>
      <c r="AB29" s="57"/>
      <c r="AD29" s="57"/>
      <c r="AF29" s="57"/>
      <c r="AG29" s="57"/>
      <c r="AH29" s="57"/>
      <c r="AI29" s="57"/>
      <c r="AJ29" s="57"/>
    </row>
    <row r="30" spans="1:36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x14ac:dyDescent="0.2">
      <c r="Z31" s="57"/>
      <c r="AB31" s="57"/>
      <c r="AD31" s="57"/>
      <c r="AF31" s="57"/>
      <c r="AG31" s="57"/>
      <c r="AH31" s="57"/>
      <c r="AI31" s="57"/>
      <c r="AJ31" s="57"/>
    </row>
    <row r="32" spans="1:36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34F0-AAF9-4A8C-B7D9-7F34554A6D05}">
  <sheetPr>
    <tabColor rgb="FF92D050"/>
  </sheetPr>
  <dimension ref="A1:AJ7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1422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G4" s="52"/>
      <c r="AH4" s="52"/>
      <c r="AI4" s="52"/>
      <c r="AJ4" s="52"/>
    </row>
    <row r="5" spans="1:36" ht="12.75" customHeight="1" x14ac:dyDescent="0.2">
      <c r="A5" s="54" t="s">
        <v>1366</v>
      </c>
      <c r="Z5" s="57"/>
      <c r="AB5" s="57"/>
      <c r="AD5" s="57"/>
      <c r="AF5" s="57"/>
      <c r="AG5" s="57"/>
      <c r="AH5" s="57"/>
      <c r="AI5" s="57"/>
      <c r="AJ5" s="57"/>
    </row>
    <row r="6" spans="1:36" ht="12.75" customHeight="1" x14ac:dyDescent="0.2">
      <c r="A6" s="55" t="s">
        <v>1432</v>
      </c>
      <c r="B6" s="56" t="s">
        <v>1144</v>
      </c>
      <c r="C6" s="77">
        <v>0</v>
      </c>
      <c r="E6" s="77">
        <v>0</v>
      </c>
      <c r="G6" s="77">
        <v>0</v>
      </c>
      <c r="I6" s="77">
        <v>0</v>
      </c>
      <c r="K6" s="77">
        <v>0</v>
      </c>
      <c r="M6" s="77">
        <v>0</v>
      </c>
      <c r="O6" s="77">
        <f>PRODUCT(M6,0/12)</f>
        <v>0</v>
      </c>
      <c r="Q6" s="77">
        <f>SUM(M6,O6)</f>
        <v>0</v>
      </c>
      <c r="S6" s="77">
        <v>600000</v>
      </c>
      <c r="U6" s="77">
        <v>600000</v>
      </c>
      <c r="W6" s="77">
        <v>600000</v>
      </c>
      <c r="Y6" s="77">
        <f>SUM(W6,-I6)</f>
        <v>600000</v>
      </c>
      <c r="Z6" s="57"/>
      <c r="AA6" s="58" t="e">
        <f>IF(W6=0,"N/A",PRODUCT(Y6,1/I6))</f>
        <v>#DIV/0!</v>
      </c>
      <c r="AB6" s="57"/>
      <c r="AC6" s="77">
        <f>SUM(W6,-Q6)</f>
        <v>600000</v>
      </c>
      <c r="AD6" s="57"/>
      <c r="AE6" s="58" t="e">
        <f>IF(W6=0,"N/A",PRODUCT(AC6,1/Q6))</f>
        <v>#DIV/0!</v>
      </c>
      <c r="AF6" s="57"/>
      <c r="AG6" s="57"/>
      <c r="AH6" s="57"/>
      <c r="AI6" s="57"/>
      <c r="AJ6" s="57"/>
    </row>
    <row r="7" spans="1:36" ht="12.75" customHeight="1" x14ac:dyDescent="0.2">
      <c r="A7" s="59" t="s">
        <v>1425</v>
      </c>
      <c r="B7" s="60" t="s">
        <v>1154</v>
      </c>
      <c r="C7" s="79">
        <v>0</v>
      </c>
      <c r="D7" s="80"/>
      <c r="E7" s="79">
        <v>0</v>
      </c>
      <c r="F7" s="80"/>
      <c r="G7" s="79">
        <v>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f>PRODUCT(M7,0/12)</f>
        <v>0</v>
      </c>
      <c r="P7" s="79"/>
      <c r="Q7" s="79">
        <f>SUM(M7,O7)</f>
        <v>0</v>
      </c>
      <c r="R7" s="79"/>
      <c r="S7" s="79">
        <v>0</v>
      </c>
      <c r="T7" s="79"/>
      <c r="U7" s="79">
        <v>0</v>
      </c>
      <c r="V7" s="79"/>
      <c r="W7" s="79">
        <v>514490</v>
      </c>
      <c r="X7" s="79"/>
      <c r="Y7" s="79">
        <f>SUM(W7,-I7)</f>
        <v>514490</v>
      </c>
      <c r="Z7" s="62"/>
      <c r="AA7" s="63" t="e">
        <f>IF(W7=0,"N/A",PRODUCT(Y7,1/I7))</f>
        <v>#DIV/0!</v>
      </c>
      <c r="AB7" s="62"/>
      <c r="AC7" s="79">
        <f>SUM(W7,-Q7)</f>
        <v>514490</v>
      </c>
      <c r="AD7" s="62"/>
      <c r="AE7" s="63" t="e">
        <f>IF(W7=0,"N/A",PRODUCT(AC7,1/Q7))</f>
        <v>#DIV/0!</v>
      </c>
      <c r="AF7" s="57"/>
      <c r="AG7" s="57"/>
      <c r="AH7" s="57"/>
      <c r="AI7" s="57"/>
      <c r="AJ7" s="57"/>
    </row>
    <row r="8" spans="1:36" ht="12.75" customHeight="1" x14ac:dyDescent="0.2">
      <c r="A8" s="64" t="s">
        <v>1367</v>
      </c>
      <c r="C8" s="81">
        <f>SUM(C6:C7)</f>
        <v>0</v>
      </c>
      <c r="E8" s="81">
        <f>SUM(E6:E7)</f>
        <v>0</v>
      </c>
      <c r="G8" s="81">
        <f>SUM(G6:G7)</f>
        <v>0</v>
      </c>
      <c r="I8" s="81">
        <f>SUM(I6:I7)</f>
        <v>0</v>
      </c>
      <c r="K8" s="81">
        <f>SUM(K6:K7)</f>
        <v>0</v>
      </c>
      <c r="M8" s="81">
        <f>SUM(M6:M7)</f>
        <v>0</v>
      </c>
      <c r="O8" s="81">
        <f>SUM(O6:O7)</f>
        <v>0</v>
      </c>
      <c r="Q8" s="81">
        <f>SUM(Q6:Q7)</f>
        <v>0</v>
      </c>
      <c r="S8" s="81">
        <f>SUM(S6:S7)</f>
        <v>600000</v>
      </c>
      <c r="U8" s="81">
        <f>SUM(U6:U7)</f>
        <v>600000</v>
      </c>
      <c r="W8" s="81">
        <f>SUM(W6:W7)</f>
        <v>1114490</v>
      </c>
      <c r="Y8" s="81">
        <f>SUM(Y6:Y7)</f>
        <v>1114490</v>
      </c>
      <c r="Z8" s="57"/>
      <c r="AA8" s="65" t="e">
        <f>IF(W8=0,"N/A",PRODUCT(Y8,1/I8))</f>
        <v>#DIV/0!</v>
      </c>
      <c r="AB8" s="57"/>
      <c r="AC8" s="81">
        <f>SUM(AC6:AC7)</f>
        <v>1114490</v>
      </c>
      <c r="AD8" s="57"/>
      <c r="AE8" s="65" t="e">
        <f>IF(W8=0,"N/A",PRODUCT(AC8,1/Q8))</f>
        <v>#DIV/0!</v>
      </c>
      <c r="AF8" s="57"/>
      <c r="AG8" s="57"/>
      <c r="AH8" s="57"/>
      <c r="AI8" s="57"/>
      <c r="AJ8" s="57"/>
    </row>
    <row r="9" spans="1:36" ht="12.75" customHeight="1" x14ac:dyDescent="0.2">
      <c r="Z9" s="57"/>
      <c r="AA9" s="58"/>
      <c r="AB9" s="57"/>
      <c r="AD9" s="57"/>
      <c r="AE9" s="58"/>
      <c r="AF9" s="57"/>
      <c r="AG9" s="57"/>
      <c r="AH9" s="57"/>
      <c r="AI9" s="57"/>
      <c r="AJ9" s="57"/>
    </row>
    <row r="10" spans="1:36" ht="12.75" customHeight="1" thickBot="1" x14ac:dyDescent="0.25">
      <c r="A10" s="67" t="s">
        <v>1424</v>
      </c>
      <c r="C10" s="83">
        <f>SUM(C8)</f>
        <v>0</v>
      </c>
      <c r="E10" s="83">
        <f>SUM(E8)</f>
        <v>0</v>
      </c>
      <c r="G10" s="83">
        <f>SUM(G8)</f>
        <v>0</v>
      </c>
      <c r="I10" s="83">
        <f>SUM(I8)</f>
        <v>0</v>
      </c>
      <c r="K10" s="83">
        <f>SUM(K8)</f>
        <v>0</v>
      </c>
      <c r="M10" s="82">
        <f>SUM(M8)</f>
        <v>0</v>
      </c>
      <c r="O10" s="82">
        <f>SUM(O8)</f>
        <v>0</v>
      </c>
      <c r="Q10" s="83">
        <f>SUM(Q8)</f>
        <v>0</v>
      </c>
      <c r="S10" s="82">
        <f>SUM(S8)</f>
        <v>600000</v>
      </c>
      <c r="U10" s="82">
        <f>SUM(U8)</f>
        <v>600000</v>
      </c>
      <c r="W10" s="83">
        <f>SUM(W8)</f>
        <v>1114490</v>
      </c>
      <c r="Y10" s="82">
        <f>SUM(Y8)</f>
        <v>1114490</v>
      </c>
      <c r="Z10" s="57"/>
      <c r="AA10" s="125" t="e">
        <f>IF(W10=0,"N/A",PRODUCT(Y10,1/I10))</f>
        <v>#DIV/0!</v>
      </c>
      <c r="AB10" s="57"/>
      <c r="AC10" s="82">
        <f>SUM(AC8)</f>
        <v>1114490</v>
      </c>
      <c r="AD10" s="57"/>
      <c r="AE10" s="125" t="e">
        <f>IF(W10=0,"N/A",PRODUCT(AC10,1/Q10))</f>
        <v>#DIV/0!</v>
      </c>
      <c r="AF10" s="57"/>
      <c r="AG10" s="57"/>
      <c r="AH10" s="57"/>
      <c r="AI10" s="57"/>
      <c r="AJ10" s="57"/>
    </row>
    <row r="11" spans="1:36" ht="12.75" customHeight="1" thickTop="1" x14ac:dyDescent="0.2">
      <c r="Z11" s="57"/>
      <c r="AB11" s="57"/>
      <c r="AD11" s="57"/>
      <c r="AF11" s="57"/>
      <c r="AG11" s="57"/>
      <c r="AH11" s="57"/>
      <c r="AI11" s="57"/>
      <c r="AJ11" s="57"/>
    </row>
    <row r="12" spans="1:36" ht="12.75" customHeight="1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2.75" customHeight="1" x14ac:dyDescent="0.2">
      <c r="Z13" s="57"/>
      <c r="AB13" s="57"/>
      <c r="AD13" s="57"/>
      <c r="AF13" s="57"/>
      <c r="AG13" s="57"/>
      <c r="AH13" s="57"/>
      <c r="AI13" s="57"/>
      <c r="AJ13" s="57"/>
    </row>
    <row r="14" spans="1:36" ht="12.75" customHeight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Z16" s="57"/>
      <c r="AB16" s="57"/>
      <c r="AD16" s="57"/>
      <c r="AF16" s="57"/>
      <c r="AG16" s="57"/>
      <c r="AH16" s="57"/>
      <c r="AI16" s="57"/>
      <c r="AJ16" s="57"/>
    </row>
    <row r="17" spans="26:36" ht="12.75" customHeight="1" x14ac:dyDescent="0.2">
      <c r="Z17" s="57"/>
      <c r="AB17" s="57"/>
      <c r="AD17" s="57"/>
      <c r="AF17" s="57"/>
      <c r="AG17" s="57"/>
      <c r="AH17" s="57"/>
      <c r="AI17" s="57"/>
      <c r="AJ17" s="57"/>
    </row>
    <row r="18" spans="26:36" ht="12.75" customHeight="1" x14ac:dyDescent="0.2">
      <c r="Z18" s="57"/>
      <c r="AB18" s="57"/>
      <c r="AD18" s="57"/>
      <c r="AF18" s="57"/>
      <c r="AG18" s="57"/>
      <c r="AH18" s="57"/>
      <c r="AI18" s="57"/>
      <c r="AJ18" s="57"/>
    </row>
    <row r="19" spans="26:36" ht="12.75" customHeight="1" x14ac:dyDescent="0.2">
      <c r="Z19" s="57"/>
      <c r="AB19" s="57"/>
      <c r="AD19" s="57"/>
      <c r="AF19" s="57"/>
      <c r="AG19" s="57"/>
      <c r="AH19" s="57"/>
      <c r="AI19" s="57"/>
      <c r="AJ19" s="57"/>
    </row>
    <row r="20" spans="26:36" ht="12.75" customHeight="1" x14ac:dyDescent="0.2">
      <c r="Z20" s="57"/>
      <c r="AB20" s="57"/>
      <c r="AD20" s="57"/>
      <c r="AF20" s="57"/>
      <c r="AG20" s="57"/>
      <c r="AH20" s="57"/>
      <c r="AI20" s="57"/>
      <c r="AJ20" s="57"/>
    </row>
    <row r="21" spans="26:36" ht="12.75" customHeight="1" x14ac:dyDescent="0.2">
      <c r="Z21" s="57"/>
      <c r="AB21" s="57"/>
      <c r="AD21" s="57"/>
      <c r="AF21" s="57"/>
      <c r="AG21" s="57"/>
      <c r="AH21" s="57"/>
      <c r="AI21" s="57"/>
      <c r="AJ21" s="57"/>
    </row>
    <row r="22" spans="26:36" ht="12.75" customHeight="1" x14ac:dyDescent="0.2">
      <c r="Z22" s="57"/>
      <c r="AB22" s="57"/>
      <c r="AD22" s="57"/>
      <c r="AF22" s="57"/>
      <c r="AG22" s="57"/>
      <c r="AH22" s="57"/>
      <c r="AI22" s="57"/>
      <c r="AJ22" s="57"/>
    </row>
    <row r="23" spans="26:36" x14ac:dyDescent="0.2">
      <c r="Z23" s="57"/>
      <c r="AB23" s="57"/>
      <c r="AD23" s="57"/>
      <c r="AF23" s="57"/>
      <c r="AG23" s="57"/>
      <c r="AH23" s="57"/>
      <c r="AI23" s="57"/>
      <c r="AJ23" s="57"/>
    </row>
    <row r="24" spans="26:36" x14ac:dyDescent="0.2">
      <c r="Z24" s="57"/>
      <c r="AB24" s="57"/>
      <c r="AD24" s="57"/>
      <c r="AF24" s="57"/>
      <c r="AG24" s="57"/>
      <c r="AH24" s="57"/>
      <c r="AI24" s="57"/>
      <c r="AJ24" s="57"/>
    </row>
    <row r="25" spans="26:36" x14ac:dyDescent="0.2">
      <c r="Z25" s="57"/>
      <c r="AB25" s="57"/>
      <c r="AD25" s="57"/>
      <c r="AF25" s="57"/>
      <c r="AG25" s="57"/>
      <c r="AH25" s="57"/>
      <c r="AI25" s="57"/>
      <c r="AJ25" s="57"/>
    </row>
    <row r="26" spans="26:36" x14ac:dyDescent="0.2">
      <c r="Z26" s="57"/>
      <c r="AB26" s="57"/>
      <c r="AD26" s="57"/>
      <c r="AF26" s="57"/>
      <c r="AG26" s="57"/>
      <c r="AH26" s="57"/>
      <c r="AI26" s="57"/>
      <c r="AJ26" s="57"/>
    </row>
    <row r="27" spans="26:36" x14ac:dyDescent="0.2">
      <c r="Z27" s="57"/>
      <c r="AB27" s="57"/>
      <c r="AD27" s="57"/>
      <c r="AF27" s="57"/>
      <c r="AG27" s="57"/>
      <c r="AH27" s="57"/>
      <c r="AI27" s="57"/>
      <c r="AJ27" s="57"/>
    </row>
    <row r="28" spans="26:36" x14ac:dyDescent="0.2">
      <c r="Z28" s="57"/>
      <c r="AB28" s="57"/>
      <c r="AD28" s="57"/>
      <c r="AF28" s="57"/>
      <c r="AG28" s="57"/>
      <c r="AH28" s="57"/>
      <c r="AI28" s="57"/>
      <c r="AJ28" s="57"/>
    </row>
    <row r="29" spans="26:36" x14ac:dyDescent="0.2">
      <c r="Z29" s="57"/>
      <c r="AB29" s="57"/>
      <c r="AD29" s="57"/>
      <c r="AF29" s="57"/>
      <c r="AG29" s="57"/>
      <c r="AH29" s="57"/>
      <c r="AI29" s="57"/>
      <c r="AJ29" s="57"/>
    </row>
    <row r="30" spans="26:36" x14ac:dyDescent="0.2">
      <c r="Z30" s="57"/>
      <c r="AB30" s="57"/>
      <c r="AD30" s="57"/>
      <c r="AF30" s="57"/>
      <c r="AG30" s="57"/>
      <c r="AH30" s="57"/>
      <c r="AI30" s="57"/>
      <c r="AJ30" s="57"/>
    </row>
    <row r="31" spans="26:36" x14ac:dyDescent="0.2">
      <c r="Z31" s="57"/>
      <c r="AB31" s="57"/>
      <c r="AD31" s="57"/>
      <c r="AF31" s="57"/>
      <c r="AG31" s="57"/>
      <c r="AH31" s="57"/>
      <c r="AI31" s="57"/>
      <c r="AJ31" s="57"/>
    </row>
    <row r="32" spans="26:36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FFCD-A81F-46E2-B308-917C9BBB792E}">
  <sheetPr>
    <tabColor rgb="FF92D050"/>
  </sheetPr>
  <dimension ref="A1:AJ8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57" customWidth="1"/>
    <col min="4" max="4" width="1.7109375" style="53" customWidth="1"/>
    <col min="5" max="5" width="11.7109375" style="57" customWidth="1"/>
    <col min="6" max="6" width="1.7109375" style="53" customWidth="1"/>
    <col min="7" max="7" width="11.7109375" style="57" customWidth="1"/>
    <col min="8" max="8" width="1.7109375" style="57" customWidth="1"/>
    <col min="9" max="9" width="11.7109375" style="57" customWidth="1"/>
    <col min="10" max="10" width="1.7109375" style="57" customWidth="1"/>
    <col min="11" max="11" width="11.7109375" style="57" customWidth="1"/>
    <col min="12" max="12" width="1.7109375" style="57" customWidth="1"/>
    <col min="13" max="13" width="11.7109375" style="57" customWidth="1"/>
    <col min="14" max="14" width="1.7109375" style="57" customWidth="1"/>
    <col min="15" max="15" width="11.7109375" style="57" customWidth="1"/>
    <col min="16" max="16" width="1.7109375" style="57" customWidth="1"/>
    <col min="17" max="17" width="11.7109375" style="57" customWidth="1"/>
    <col min="18" max="18" width="1.7109375" style="57" customWidth="1"/>
    <col min="19" max="19" width="11.7109375" style="57" customWidth="1"/>
    <col min="20" max="20" width="1.7109375" style="57" customWidth="1"/>
    <col min="21" max="21" width="11.7109375" style="57" customWidth="1"/>
    <col min="22" max="22" width="1.7109375" style="57" customWidth="1"/>
    <col min="23" max="23" width="11.7109375" style="57" customWidth="1"/>
    <col min="24" max="24" width="1.7109375" style="57" customWidth="1"/>
    <col min="25" max="25" width="11.7109375" style="5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5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11"/>
      <c r="D1" s="53"/>
      <c r="E1" s="111"/>
      <c r="F1" s="53"/>
      <c r="G1" s="111"/>
      <c r="H1" s="53"/>
      <c r="I1" s="111" t="s">
        <v>4</v>
      </c>
      <c r="J1" s="53"/>
      <c r="K1" s="111" t="s">
        <v>4</v>
      </c>
      <c r="L1" s="53"/>
      <c r="M1" s="110" t="s">
        <v>4</v>
      </c>
      <c r="N1" s="53"/>
      <c r="O1" s="110" t="s">
        <v>4</v>
      </c>
      <c r="P1" s="53"/>
      <c r="Q1" s="111" t="s">
        <v>4</v>
      </c>
      <c r="R1" s="53"/>
      <c r="S1" s="110" t="s">
        <v>10</v>
      </c>
      <c r="T1" s="53"/>
      <c r="U1" s="110" t="s">
        <v>10</v>
      </c>
      <c r="V1" s="53"/>
      <c r="W1" s="111" t="s">
        <v>10</v>
      </c>
      <c r="X1" s="53"/>
      <c r="Y1" s="110" t="s">
        <v>1067</v>
      </c>
      <c r="Z1" s="48"/>
      <c r="AA1" s="125" t="s">
        <v>1070</v>
      </c>
      <c r="AC1" s="110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11" t="s">
        <v>0</v>
      </c>
      <c r="D2" s="53"/>
      <c r="E2" s="111" t="s">
        <v>1</v>
      </c>
      <c r="F2" s="53"/>
      <c r="G2" s="111" t="s">
        <v>3</v>
      </c>
      <c r="H2" s="53"/>
      <c r="I2" s="111" t="s">
        <v>5</v>
      </c>
      <c r="J2" s="53"/>
      <c r="K2" s="111" t="s">
        <v>7</v>
      </c>
      <c r="L2" s="53"/>
      <c r="M2" s="110" t="s">
        <v>1527</v>
      </c>
      <c r="N2" s="53"/>
      <c r="O2" s="110" t="s">
        <v>590</v>
      </c>
      <c r="P2" s="53"/>
      <c r="Q2" s="111" t="s">
        <v>8</v>
      </c>
      <c r="R2" s="53"/>
      <c r="S2" s="110" t="s">
        <v>11</v>
      </c>
      <c r="T2" s="53"/>
      <c r="U2" s="110" t="s">
        <v>11</v>
      </c>
      <c r="V2" s="53"/>
      <c r="W2" s="111" t="s">
        <v>11</v>
      </c>
      <c r="X2" s="53"/>
      <c r="Y2" s="110" t="s">
        <v>1068</v>
      </c>
      <c r="Z2" s="48"/>
      <c r="AA2" s="125" t="s">
        <v>1068</v>
      </c>
      <c r="AC2" s="110" t="s">
        <v>1068</v>
      </c>
      <c r="AE2" s="125" t="s">
        <v>1068</v>
      </c>
      <c r="AF2" s="48"/>
    </row>
    <row r="3" spans="1:36" s="46" customFormat="1" x14ac:dyDescent="0.2">
      <c r="C3" s="111" t="s">
        <v>2</v>
      </c>
      <c r="D3" s="53"/>
      <c r="E3" s="111" t="s">
        <v>2</v>
      </c>
      <c r="F3" s="53"/>
      <c r="G3" s="111" t="s">
        <v>2</v>
      </c>
      <c r="H3" s="53"/>
      <c r="I3" s="111" t="s">
        <v>6</v>
      </c>
      <c r="J3" s="53"/>
      <c r="K3" s="111" t="s">
        <v>6</v>
      </c>
      <c r="L3" s="53"/>
      <c r="M3" s="110" t="s">
        <v>589</v>
      </c>
      <c r="N3" s="53"/>
      <c r="O3" s="110" t="s">
        <v>8</v>
      </c>
      <c r="P3" s="53"/>
      <c r="Q3" s="111" t="s">
        <v>9</v>
      </c>
      <c r="R3" s="53"/>
      <c r="S3" s="110" t="s">
        <v>945</v>
      </c>
      <c r="T3" s="53"/>
      <c r="U3" s="110" t="s">
        <v>946</v>
      </c>
      <c r="V3" s="53"/>
      <c r="W3" s="111" t="s">
        <v>6</v>
      </c>
      <c r="X3" s="53"/>
      <c r="Y3" s="110" t="s">
        <v>1069</v>
      </c>
      <c r="Z3" s="48"/>
      <c r="AA3" s="125" t="s">
        <v>1069</v>
      </c>
      <c r="AC3" s="110" t="s">
        <v>1071</v>
      </c>
      <c r="AE3" s="125" t="s">
        <v>1071</v>
      </c>
      <c r="AF3" s="48"/>
    </row>
    <row r="4" spans="1:36" s="51" customFormat="1" x14ac:dyDescent="0.2">
      <c r="A4" s="50" t="s">
        <v>231</v>
      </c>
      <c r="C4" s="52"/>
      <c r="D4" s="53"/>
      <c r="E4" s="52"/>
      <c r="F4" s="5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8"/>
      <c r="AB4" s="52"/>
      <c r="AC4" s="52"/>
      <c r="AD4" s="52"/>
      <c r="AE4" s="58"/>
      <c r="AF4" s="52"/>
      <c r="AG4" s="52"/>
      <c r="AH4" s="52"/>
      <c r="AI4" s="52"/>
      <c r="AJ4" s="52"/>
    </row>
    <row r="5" spans="1:36" x14ac:dyDescent="0.2">
      <c r="A5" s="59" t="s">
        <v>233</v>
      </c>
      <c r="B5" s="60" t="s">
        <v>240</v>
      </c>
      <c r="C5" s="62">
        <v>137930.73000000001</v>
      </c>
      <c r="D5" s="61"/>
      <c r="E5" s="62">
        <v>465587.21</v>
      </c>
      <c r="F5" s="61"/>
      <c r="G5" s="62">
        <v>115122.08</v>
      </c>
      <c r="H5" s="62"/>
      <c r="I5" s="62">
        <v>285000</v>
      </c>
      <c r="J5" s="62"/>
      <c r="K5" s="62">
        <v>285000</v>
      </c>
      <c r="L5" s="62"/>
      <c r="M5" s="62">
        <v>163851.37</v>
      </c>
      <c r="N5" s="62"/>
      <c r="O5" s="62">
        <v>0</v>
      </c>
      <c r="P5" s="62"/>
      <c r="Q5" s="62">
        <f t="shared" ref="Q5:Q11" si="0">SUM(M5,O5)</f>
        <v>163851.37</v>
      </c>
      <c r="R5" s="62"/>
      <c r="S5" s="62">
        <v>360000</v>
      </c>
      <c r="T5" s="62"/>
      <c r="U5" s="62">
        <v>370000</v>
      </c>
      <c r="V5" s="62"/>
      <c r="W5" s="62">
        <v>370000</v>
      </c>
      <c r="X5" s="62"/>
      <c r="Y5" s="62">
        <f t="shared" ref="Y5:Y11" si="1">SUM(W5,-I5)</f>
        <v>85000</v>
      </c>
      <c r="Z5" s="62"/>
      <c r="AA5" s="63">
        <f>IF(W5=0,"N/A",PRODUCT(Y5,1/I5))</f>
        <v>0.2982456140350877</v>
      </c>
      <c r="AB5" s="62"/>
      <c r="AC5" s="62">
        <f t="shared" ref="AC5:AC11" si="2">SUM(W5,-Q5)</f>
        <v>206148.63</v>
      </c>
      <c r="AD5" s="62"/>
      <c r="AE5" s="63">
        <f>IF(W5=0,"N/A",PRODUCT(AC5,1/Q5))</f>
        <v>1.2581440728875199</v>
      </c>
      <c r="AF5" s="57"/>
      <c r="AG5" s="57" t="s">
        <v>1301</v>
      </c>
      <c r="AH5" s="57"/>
      <c r="AI5" s="57"/>
      <c r="AJ5" s="57"/>
    </row>
    <row r="6" spans="1:36" x14ac:dyDescent="0.2">
      <c r="A6" s="55" t="s">
        <v>234</v>
      </c>
      <c r="B6" s="56" t="s">
        <v>241</v>
      </c>
      <c r="C6" s="57">
        <v>24919.75</v>
      </c>
      <c r="E6" s="57">
        <v>113636.08</v>
      </c>
      <c r="G6" s="57">
        <v>79594.63</v>
      </c>
      <c r="I6" s="57">
        <v>105000</v>
      </c>
      <c r="K6" s="57">
        <v>195000</v>
      </c>
      <c r="M6" s="57">
        <v>156762.09</v>
      </c>
      <c r="O6" s="57">
        <v>0</v>
      </c>
      <c r="Q6" s="57">
        <f t="shared" si="0"/>
        <v>156762.09</v>
      </c>
      <c r="S6" s="57">
        <v>190000</v>
      </c>
      <c r="U6" s="57">
        <v>308000</v>
      </c>
      <c r="W6" s="57">
        <v>308000</v>
      </c>
      <c r="Y6" s="57">
        <f t="shared" si="1"/>
        <v>203000</v>
      </c>
      <c r="Z6" s="57"/>
      <c r="AA6" s="58">
        <f t="shared" ref="AA6:AA11" si="3">IF(W6=0,"N/A",PRODUCT(Y6,1/I6))</f>
        <v>1.9333333333333331</v>
      </c>
      <c r="AB6" s="57"/>
      <c r="AC6" s="57">
        <f t="shared" si="2"/>
        <v>151237.91</v>
      </c>
      <c r="AD6" s="57"/>
      <c r="AE6" s="58">
        <f t="shared" ref="AE6:AE11" si="4">IF(W6=0,"N/A",PRODUCT(AC6,1/Q6))</f>
        <v>0.96476074030398551</v>
      </c>
      <c r="AF6" s="57"/>
      <c r="AG6" s="57" t="s">
        <v>1302</v>
      </c>
      <c r="AH6" s="57"/>
      <c r="AI6" s="57"/>
      <c r="AJ6" s="57"/>
    </row>
    <row r="7" spans="1:36" x14ac:dyDescent="0.2">
      <c r="A7" s="59" t="s">
        <v>235</v>
      </c>
      <c r="B7" s="60" t="s">
        <v>242</v>
      </c>
      <c r="C7" s="62">
        <v>29320</v>
      </c>
      <c r="D7" s="61"/>
      <c r="E7" s="62">
        <v>3053</v>
      </c>
      <c r="F7" s="61"/>
      <c r="G7" s="62">
        <v>37209.760000000002</v>
      </c>
      <c r="H7" s="62"/>
      <c r="I7" s="62">
        <v>0</v>
      </c>
      <c r="J7" s="62"/>
      <c r="K7" s="62">
        <v>0</v>
      </c>
      <c r="L7" s="62"/>
      <c r="M7" s="62">
        <v>0</v>
      </c>
      <c r="N7" s="62"/>
      <c r="O7" s="62">
        <v>0</v>
      </c>
      <c r="P7" s="62"/>
      <c r="Q7" s="62">
        <f t="shared" si="0"/>
        <v>0</v>
      </c>
      <c r="R7" s="62"/>
      <c r="S7" s="62">
        <v>0</v>
      </c>
      <c r="T7" s="62"/>
      <c r="U7" s="62">
        <v>0</v>
      </c>
      <c r="V7" s="62"/>
      <c r="W7" s="62">
        <v>0</v>
      </c>
      <c r="X7" s="62"/>
      <c r="Y7" s="62">
        <f t="shared" si="1"/>
        <v>0</v>
      </c>
      <c r="Z7" s="62"/>
      <c r="AA7" s="63" t="str">
        <f t="shared" si="3"/>
        <v>N/A</v>
      </c>
      <c r="AB7" s="62"/>
      <c r="AC7" s="62">
        <f t="shared" si="2"/>
        <v>0</v>
      </c>
      <c r="AD7" s="62"/>
      <c r="AE7" s="63" t="str">
        <f t="shared" si="4"/>
        <v>N/A</v>
      </c>
      <c r="AF7" s="57"/>
      <c r="AG7" s="57"/>
      <c r="AH7" s="57"/>
      <c r="AI7" s="57"/>
      <c r="AJ7" s="57"/>
    </row>
    <row r="8" spans="1:36" x14ac:dyDescent="0.2">
      <c r="A8" s="55" t="s">
        <v>236</v>
      </c>
      <c r="B8" s="56" t="s">
        <v>243</v>
      </c>
      <c r="C8" s="57">
        <v>0</v>
      </c>
      <c r="E8" s="57">
        <v>17024.23</v>
      </c>
      <c r="G8" s="57">
        <v>88750.44</v>
      </c>
      <c r="I8" s="57">
        <v>25000</v>
      </c>
      <c r="K8" s="57">
        <v>25000</v>
      </c>
      <c r="M8" s="57">
        <v>16157.8</v>
      </c>
      <c r="O8" s="57">
        <v>0</v>
      </c>
      <c r="Q8" s="57">
        <f t="shared" si="0"/>
        <v>16157.8</v>
      </c>
      <c r="S8" s="57">
        <v>450000</v>
      </c>
      <c r="U8" s="57">
        <v>425000</v>
      </c>
      <c r="W8" s="57">
        <v>425000</v>
      </c>
      <c r="Y8" s="57">
        <f t="shared" si="1"/>
        <v>400000</v>
      </c>
      <c r="Z8" s="57"/>
      <c r="AA8" s="58">
        <f t="shared" si="3"/>
        <v>16</v>
      </c>
      <c r="AB8" s="57"/>
      <c r="AC8" s="57">
        <f t="shared" si="2"/>
        <v>408842.2</v>
      </c>
      <c r="AD8" s="57"/>
      <c r="AE8" s="58">
        <f t="shared" si="4"/>
        <v>25.303085816138339</v>
      </c>
      <c r="AF8" s="57"/>
      <c r="AG8" s="57" t="s">
        <v>1303</v>
      </c>
      <c r="AH8" s="57"/>
      <c r="AI8" s="57"/>
      <c r="AJ8" s="57"/>
    </row>
    <row r="9" spans="1:36" x14ac:dyDescent="0.2">
      <c r="A9" s="59" t="s">
        <v>237</v>
      </c>
      <c r="B9" s="60" t="s">
        <v>244</v>
      </c>
      <c r="C9" s="62">
        <v>5071751.4400000004</v>
      </c>
      <c r="D9" s="61"/>
      <c r="E9" s="62">
        <v>1636931.17</v>
      </c>
      <c r="F9" s="61"/>
      <c r="G9" s="62">
        <v>78936.31</v>
      </c>
      <c r="H9" s="62"/>
      <c r="I9" s="62">
        <v>1775000</v>
      </c>
      <c r="J9" s="62"/>
      <c r="K9" s="62">
        <v>1775000</v>
      </c>
      <c r="L9" s="62"/>
      <c r="M9" s="62">
        <v>1203296.93</v>
      </c>
      <c r="N9" s="62"/>
      <c r="O9" s="62">
        <v>0</v>
      </c>
      <c r="P9" s="62"/>
      <c r="Q9" s="62">
        <f t="shared" si="0"/>
        <v>1203296.93</v>
      </c>
      <c r="R9" s="62"/>
      <c r="S9" s="62">
        <v>1275000</v>
      </c>
      <c r="T9" s="62"/>
      <c r="U9" s="62">
        <v>725000</v>
      </c>
      <c r="V9" s="62"/>
      <c r="W9" s="62">
        <v>725000</v>
      </c>
      <c r="X9" s="62"/>
      <c r="Y9" s="62">
        <f t="shared" si="1"/>
        <v>-1050000</v>
      </c>
      <c r="Z9" s="62"/>
      <c r="AA9" s="63">
        <f t="shared" si="3"/>
        <v>-0.59154929577464788</v>
      </c>
      <c r="AB9" s="62"/>
      <c r="AC9" s="62">
        <f t="shared" si="2"/>
        <v>-478296.92999999993</v>
      </c>
      <c r="AD9" s="62"/>
      <c r="AE9" s="63">
        <f t="shared" si="4"/>
        <v>-0.39748869798911557</v>
      </c>
      <c r="AF9" s="57"/>
      <c r="AG9" s="57" t="s">
        <v>1304</v>
      </c>
      <c r="AH9" s="57"/>
      <c r="AI9" s="57"/>
      <c r="AJ9" s="57"/>
    </row>
    <row r="10" spans="1:36" x14ac:dyDescent="0.2">
      <c r="A10" s="55" t="s">
        <v>238</v>
      </c>
      <c r="B10" s="56" t="s">
        <v>245</v>
      </c>
      <c r="C10" s="57">
        <v>0</v>
      </c>
      <c r="E10" s="57">
        <v>0</v>
      </c>
      <c r="G10" s="57">
        <v>558072.57999999996</v>
      </c>
      <c r="I10" s="57">
        <v>563000</v>
      </c>
      <c r="K10" s="57">
        <v>563000</v>
      </c>
      <c r="M10" s="57">
        <v>223708.15</v>
      </c>
      <c r="O10" s="57">
        <v>0</v>
      </c>
      <c r="Q10" s="57">
        <f t="shared" si="0"/>
        <v>223708.15</v>
      </c>
      <c r="S10" s="57">
        <v>1225000</v>
      </c>
      <c r="U10" s="57">
        <v>3375000</v>
      </c>
      <c r="W10" s="57">
        <v>3600000</v>
      </c>
      <c r="Y10" s="57">
        <f t="shared" si="1"/>
        <v>3037000</v>
      </c>
      <c r="Z10" s="57"/>
      <c r="AA10" s="58">
        <f t="shared" si="3"/>
        <v>5.3943161634103021</v>
      </c>
      <c r="AB10" s="57"/>
      <c r="AC10" s="57">
        <f t="shared" si="2"/>
        <v>3376291.85</v>
      </c>
      <c r="AD10" s="57"/>
      <c r="AE10" s="58">
        <f t="shared" si="4"/>
        <v>15.092395382108341</v>
      </c>
      <c r="AF10" s="57"/>
      <c r="AG10" s="57" t="s">
        <v>1305</v>
      </c>
      <c r="AH10" s="57"/>
      <c r="AI10" s="57"/>
      <c r="AJ10" s="57"/>
    </row>
    <row r="11" spans="1:36" x14ac:dyDescent="0.2">
      <c r="A11" s="59" t="s">
        <v>239</v>
      </c>
      <c r="B11" s="60" t="s">
        <v>632</v>
      </c>
      <c r="C11" s="62">
        <v>12035.81</v>
      </c>
      <c r="D11" s="61"/>
      <c r="E11" s="62">
        <v>32443.84</v>
      </c>
      <c r="F11" s="61"/>
      <c r="G11" s="62">
        <v>16481</v>
      </c>
      <c r="H11" s="62"/>
      <c r="I11" s="62">
        <v>0</v>
      </c>
      <c r="J11" s="62"/>
      <c r="K11" s="62">
        <v>0</v>
      </c>
      <c r="L11" s="62"/>
      <c r="M11" s="62">
        <v>0</v>
      </c>
      <c r="N11" s="62"/>
      <c r="O11" s="62">
        <v>0</v>
      </c>
      <c r="P11" s="62"/>
      <c r="Q11" s="62">
        <f t="shared" si="0"/>
        <v>0</v>
      </c>
      <c r="R11" s="62"/>
      <c r="S11" s="62">
        <v>0</v>
      </c>
      <c r="T11" s="62"/>
      <c r="U11" s="62">
        <v>0</v>
      </c>
      <c r="V11" s="62"/>
      <c r="W11" s="62">
        <v>0</v>
      </c>
      <c r="X11" s="62"/>
      <c r="Y11" s="62">
        <f t="shared" si="1"/>
        <v>0</v>
      </c>
      <c r="Z11" s="62"/>
      <c r="AA11" s="63" t="str">
        <f t="shared" si="3"/>
        <v>N/A</v>
      </c>
      <c r="AB11" s="62"/>
      <c r="AC11" s="62">
        <f t="shared" si="2"/>
        <v>0</v>
      </c>
      <c r="AD11" s="62"/>
      <c r="AE11" s="63" t="str">
        <f t="shared" si="4"/>
        <v>N/A</v>
      </c>
      <c r="AF11" s="57"/>
      <c r="AG11" s="57"/>
      <c r="AH11" s="57"/>
      <c r="AI11" s="57"/>
      <c r="AJ11" s="57"/>
    </row>
    <row r="12" spans="1:36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3.5" thickBot="1" x14ac:dyDescent="0.25">
      <c r="A13" s="67" t="s">
        <v>232</v>
      </c>
      <c r="C13" s="69">
        <f>SUM(C5:C11)</f>
        <v>5275957.7300000004</v>
      </c>
      <c r="E13" s="69">
        <f>SUM(E5:E11)</f>
        <v>2268675.5299999998</v>
      </c>
      <c r="G13" s="69">
        <f>SUM(G5:G11)</f>
        <v>974166.8</v>
      </c>
      <c r="I13" s="69">
        <f>SUM(I5:I11)</f>
        <v>2753000</v>
      </c>
      <c r="K13" s="69">
        <f>SUM(K5:K11)</f>
        <v>2843000</v>
      </c>
      <c r="M13" s="68">
        <f>SUM(M5:M11)</f>
        <v>1763776.3399999999</v>
      </c>
      <c r="O13" s="68">
        <f>SUM(O5:O11)</f>
        <v>0</v>
      </c>
      <c r="Q13" s="69">
        <f>SUM(Q5:Q11)</f>
        <v>1763776.3399999999</v>
      </c>
      <c r="S13" s="68">
        <f>SUM(S5:S11)</f>
        <v>3500000</v>
      </c>
      <c r="U13" s="68">
        <f>SUM(U5:U11)</f>
        <v>5203000</v>
      </c>
      <c r="W13" s="69">
        <f>SUM(W5:W11)</f>
        <v>5428000</v>
      </c>
      <c r="Y13" s="68">
        <f>SUM(Y5:Y11)</f>
        <v>2675000</v>
      </c>
      <c r="Z13" s="57"/>
      <c r="AA13" s="125">
        <f>IF(W13=0,"N/A",PRODUCT(Y13,1/I13))</f>
        <v>0.97166727206683623</v>
      </c>
      <c r="AB13" s="57"/>
      <c r="AC13" s="68">
        <f>SUM(AC5:AC11)</f>
        <v>3664223.66</v>
      </c>
      <c r="AD13" s="57"/>
      <c r="AE13" s="125">
        <f>IF(W13=0,"N/A",PRODUCT(AC13,1/Q13))</f>
        <v>2.0774877045918423</v>
      </c>
      <c r="AF13" s="57"/>
      <c r="AG13" s="57"/>
      <c r="AH13" s="57"/>
      <c r="AI13" s="57"/>
      <c r="AJ13" s="57"/>
    </row>
    <row r="14" spans="1:36" ht="13.5" thickTop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x14ac:dyDescent="0.2">
      <c r="Z16" s="57"/>
      <c r="AB16" s="57"/>
      <c r="AD16" s="57"/>
      <c r="AF16" s="57"/>
      <c r="AG16" s="57"/>
      <c r="AH16" s="57"/>
      <c r="AI16" s="57"/>
      <c r="AJ16" s="57"/>
    </row>
    <row r="17" spans="26:36" x14ac:dyDescent="0.2">
      <c r="Z17" s="57"/>
      <c r="AB17" s="57"/>
      <c r="AD17" s="57"/>
      <c r="AF17" s="57"/>
      <c r="AG17" s="57"/>
      <c r="AH17" s="57"/>
      <c r="AI17" s="57"/>
      <c r="AJ17" s="57"/>
    </row>
    <row r="18" spans="26:36" x14ac:dyDescent="0.2">
      <c r="Z18" s="57"/>
      <c r="AB18" s="57"/>
      <c r="AD18" s="57"/>
      <c r="AF18" s="57"/>
      <c r="AG18" s="57"/>
      <c r="AH18" s="57"/>
      <c r="AI18" s="57"/>
      <c r="AJ18" s="57"/>
    </row>
    <row r="19" spans="26:36" x14ac:dyDescent="0.2">
      <c r="Z19" s="57"/>
      <c r="AB19" s="57"/>
      <c r="AD19" s="57"/>
      <c r="AF19" s="57"/>
      <c r="AG19" s="57"/>
      <c r="AH19" s="57"/>
      <c r="AI19" s="57"/>
      <c r="AJ19" s="57"/>
    </row>
    <row r="20" spans="26:36" x14ac:dyDescent="0.2">
      <c r="Z20" s="57"/>
      <c r="AB20" s="57"/>
      <c r="AD20" s="57"/>
      <c r="AF20" s="57"/>
      <c r="AG20" s="57"/>
      <c r="AH20" s="57"/>
      <c r="AI20" s="57"/>
      <c r="AJ20" s="57"/>
    </row>
    <row r="21" spans="26:36" x14ac:dyDescent="0.2">
      <c r="Z21" s="57"/>
      <c r="AB21" s="57"/>
      <c r="AD21" s="57"/>
      <c r="AF21" s="57"/>
      <c r="AG21" s="57"/>
      <c r="AH21" s="57"/>
      <c r="AI21" s="57"/>
      <c r="AJ21" s="57"/>
    </row>
    <row r="22" spans="26:36" x14ac:dyDescent="0.2">
      <c r="Z22" s="57"/>
      <c r="AB22" s="57"/>
      <c r="AD22" s="57"/>
      <c r="AF22" s="57"/>
      <c r="AG22" s="57"/>
      <c r="AH22" s="57"/>
      <c r="AI22" s="57"/>
      <c r="AJ22" s="57"/>
    </row>
    <row r="23" spans="26:36" x14ac:dyDescent="0.2">
      <c r="Z23" s="57"/>
      <c r="AB23" s="57"/>
      <c r="AD23" s="57"/>
      <c r="AF23" s="57"/>
      <c r="AG23" s="57"/>
      <c r="AH23" s="57"/>
      <c r="AI23" s="57"/>
      <c r="AJ23" s="57"/>
    </row>
    <row r="24" spans="26:36" x14ac:dyDescent="0.2">
      <c r="Z24" s="57"/>
      <c r="AB24" s="57"/>
      <c r="AD24" s="57"/>
      <c r="AF24" s="57"/>
      <c r="AG24" s="57"/>
      <c r="AH24" s="57"/>
      <c r="AI24" s="57"/>
      <c r="AJ24" s="57"/>
    </row>
    <row r="25" spans="26:36" x14ac:dyDescent="0.2">
      <c r="Z25" s="57"/>
      <c r="AB25" s="57"/>
      <c r="AD25" s="57"/>
      <c r="AF25" s="57"/>
      <c r="AG25" s="57"/>
      <c r="AH25" s="57"/>
      <c r="AI25" s="57"/>
      <c r="AJ25" s="57"/>
    </row>
    <row r="26" spans="26:36" x14ac:dyDescent="0.2">
      <c r="Z26" s="57"/>
      <c r="AB26" s="57"/>
      <c r="AD26" s="57"/>
      <c r="AF26" s="57"/>
      <c r="AG26" s="57"/>
      <c r="AH26" s="57"/>
      <c r="AI26" s="57"/>
      <c r="AJ26" s="57"/>
    </row>
    <row r="27" spans="26:36" x14ac:dyDescent="0.2">
      <c r="Z27" s="57"/>
      <c r="AB27" s="57"/>
      <c r="AD27" s="57"/>
      <c r="AF27" s="57"/>
      <c r="AG27" s="57"/>
      <c r="AH27" s="57"/>
      <c r="AI27" s="57"/>
      <c r="AJ27" s="57"/>
    </row>
    <row r="28" spans="26:36" x14ac:dyDescent="0.2">
      <c r="Z28" s="57"/>
      <c r="AB28" s="57"/>
      <c r="AD28" s="57"/>
      <c r="AF28" s="57"/>
      <c r="AG28" s="57"/>
      <c r="AH28" s="57"/>
      <c r="AI28" s="57"/>
      <c r="AJ28" s="57"/>
    </row>
    <row r="29" spans="26:36" x14ac:dyDescent="0.2">
      <c r="Z29" s="57"/>
      <c r="AB29" s="57"/>
      <c r="AD29" s="57"/>
      <c r="AF29" s="57"/>
      <c r="AG29" s="57"/>
      <c r="AH29" s="57"/>
      <c r="AI29" s="57"/>
      <c r="AJ29" s="57"/>
    </row>
    <row r="30" spans="26:36" x14ac:dyDescent="0.2">
      <c r="Z30" s="57"/>
      <c r="AB30" s="57"/>
      <c r="AD30" s="57"/>
      <c r="AF30" s="57"/>
      <c r="AG30" s="57"/>
      <c r="AH30" s="57"/>
      <c r="AI30" s="57"/>
      <c r="AJ30" s="57"/>
    </row>
    <row r="31" spans="26:36" x14ac:dyDescent="0.2">
      <c r="Z31" s="57"/>
      <c r="AB31" s="57"/>
      <c r="AD31" s="57"/>
      <c r="AF31" s="57"/>
      <c r="AG31" s="57"/>
      <c r="AH31" s="57"/>
      <c r="AI31" s="57"/>
      <c r="AJ31" s="57"/>
    </row>
    <row r="32" spans="26:36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B01A-3A19-4F7B-96A2-A215DCAC86D7}">
  <sheetPr>
    <tabColor rgb="FF92D050"/>
  </sheetPr>
  <dimension ref="A1:AJ79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77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7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7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7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758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771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9" t="s">
        <v>759</v>
      </c>
      <c r="B6" s="60" t="s">
        <v>761</v>
      </c>
      <c r="C6" s="79">
        <v>566626.07999999996</v>
      </c>
      <c r="D6" s="80"/>
      <c r="E6" s="79">
        <v>552674.36</v>
      </c>
      <c r="F6" s="80"/>
      <c r="G6" s="79">
        <v>336343.88</v>
      </c>
      <c r="H6" s="79"/>
      <c r="I6" s="79">
        <v>0</v>
      </c>
      <c r="J6" s="79"/>
      <c r="K6" s="79">
        <v>0</v>
      </c>
      <c r="L6" s="79"/>
      <c r="M6" s="79">
        <v>347543.97</v>
      </c>
      <c r="N6" s="79"/>
      <c r="O6" s="79">
        <f>PRODUCT(M6,0/12)</f>
        <v>0</v>
      </c>
      <c r="P6" s="79"/>
      <c r="Q6" s="79">
        <f>SUM(M6,O6)</f>
        <v>347543.97</v>
      </c>
      <c r="R6" s="79"/>
      <c r="S6" s="79">
        <v>330000</v>
      </c>
      <c r="T6" s="79"/>
      <c r="U6" s="79">
        <v>330000</v>
      </c>
      <c r="V6" s="79"/>
      <c r="W6" s="79">
        <v>330000</v>
      </c>
      <c r="X6" s="79"/>
      <c r="Y6" s="79">
        <f>SUM(W6,-I6)</f>
        <v>330000</v>
      </c>
      <c r="Z6" s="79"/>
      <c r="AA6" s="63" t="e">
        <f>IF(W6=0,"N/A",PRODUCT(Y6,1/I6))</f>
        <v>#DIV/0!</v>
      </c>
      <c r="AB6" s="62"/>
      <c r="AC6" s="79">
        <f>SUM(W6,-Q6)</f>
        <v>-17543.969999999972</v>
      </c>
      <c r="AD6" s="62"/>
      <c r="AE6" s="63">
        <f>IF(W6=0,"N/A",PRODUCT(AC6,1/Q6))</f>
        <v>-5.0479857268132068E-2</v>
      </c>
      <c r="AF6" s="57"/>
      <c r="AG6" s="57"/>
      <c r="AH6" s="57"/>
      <c r="AI6" s="57"/>
      <c r="AJ6" s="57"/>
    </row>
    <row r="7" spans="1:36" ht="12.75" customHeight="1" x14ac:dyDescent="0.2">
      <c r="A7" s="64" t="s">
        <v>772</v>
      </c>
      <c r="C7" s="81">
        <f>SUM(C6:C6)</f>
        <v>566626.07999999996</v>
      </c>
      <c r="E7" s="81">
        <f>SUM(E6:E6)</f>
        <v>552674.36</v>
      </c>
      <c r="G7" s="81">
        <f>SUM(G6:G6)</f>
        <v>336343.88</v>
      </c>
      <c r="I7" s="81">
        <f>SUM(I6:I6)</f>
        <v>0</v>
      </c>
      <c r="K7" s="81">
        <f>SUM(K6:K6)</f>
        <v>0</v>
      </c>
      <c r="M7" s="81">
        <f>SUM(M6:M6)</f>
        <v>347543.97</v>
      </c>
      <c r="N7" s="88"/>
      <c r="O7" s="81">
        <f>SUM(O6:O6)</f>
        <v>0</v>
      </c>
      <c r="P7" s="88"/>
      <c r="Q7" s="81">
        <f>SUM(Q6:Q6)</f>
        <v>347543.97</v>
      </c>
      <c r="S7" s="81">
        <f>SUM(S6:S6)</f>
        <v>330000</v>
      </c>
      <c r="U7" s="81">
        <f>SUM(U6:U6)</f>
        <v>330000</v>
      </c>
      <c r="W7" s="81">
        <f>SUM(W6:W6)</f>
        <v>330000</v>
      </c>
      <c r="Y7" s="81">
        <f>SUM(Y6:Y6)</f>
        <v>330000</v>
      </c>
      <c r="AA7" s="65" t="e">
        <f>IF(W7=0,"N/A",PRODUCT(Y7,1/I7))</f>
        <v>#DIV/0!</v>
      </c>
      <c r="AB7" s="57"/>
      <c r="AC7" s="81">
        <f>SUM(AC6:AC6)</f>
        <v>-17543.969999999972</v>
      </c>
      <c r="AD7" s="57"/>
      <c r="AE7" s="65">
        <f>IF(W7=0,"N/A",PRODUCT(AC7,1/Q7))</f>
        <v>-5.0479857268132068E-2</v>
      </c>
      <c r="AF7" s="57"/>
      <c r="AG7" s="57"/>
      <c r="AH7" s="57"/>
      <c r="AI7" s="57"/>
      <c r="AJ7" s="57"/>
    </row>
    <row r="8" spans="1:36" ht="12.75" customHeight="1" x14ac:dyDescent="0.2">
      <c r="AB8" s="57"/>
      <c r="AD8" s="57"/>
      <c r="AF8" s="57"/>
      <c r="AG8" s="57"/>
      <c r="AH8" s="57"/>
      <c r="AI8" s="57"/>
      <c r="AJ8" s="57"/>
    </row>
    <row r="9" spans="1:36" ht="12.75" customHeight="1" x14ac:dyDescent="0.2">
      <c r="A9" s="54" t="s">
        <v>773</v>
      </c>
      <c r="AB9" s="57"/>
      <c r="AD9" s="57"/>
      <c r="AF9" s="57"/>
      <c r="AG9" s="57"/>
      <c r="AH9" s="57"/>
      <c r="AI9" s="57"/>
      <c r="AJ9" s="57"/>
    </row>
    <row r="10" spans="1:36" ht="12.75" customHeight="1" x14ac:dyDescent="0.2">
      <c r="A10" s="59" t="s">
        <v>774</v>
      </c>
      <c r="B10" s="60" t="s">
        <v>613</v>
      </c>
      <c r="C10" s="79">
        <v>15044.29</v>
      </c>
      <c r="D10" s="80"/>
      <c r="E10" s="79">
        <v>451.27</v>
      </c>
      <c r="F10" s="80"/>
      <c r="G10" s="79">
        <v>3982.4</v>
      </c>
      <c r="H10" s="79"/>
      <c r="I10" s="79">
        <v>0</v>
      </c>
      <c r="J10" s="79"/>
      <c r="K10" s="79">
        <v>0</v>
      </c>
      <c r="L10" s="79"/>
      <c r="M10" s="79">
        <v>30372.42</v>
      </c>
      <c r="N10" s="79"/>
      <c r="O10" s="79">
        <f>PRODUCT(M10,0/12)</f>
        <v>0</v>
      </c>
      <c r="P10" s="79"/>
      <c r="Q10" s="79">
        <f>SUM(M10,O10)</f>
        <v>30372.42</v>
      </c>
      <c r="R10" s="79"/>
      <c r="S10" s="79">
        <v>12500</v>
      </c>
      <c r="T10" s="79"/>
      <c r="U10" s="79">
        <v>12500</v>
      </c>
      <c r="V10" s="79"/>
      <c r="W10" s="79">
        <v>12500</v>
      </c>
      <c r="X10" s="79"/>
      <c r="Y10" s="79">
        <f>SUM(W10,-I10)</f>
        <v>12500</v>
      </c>
      <c r="Z10" s="79"/>
      <c r="AA10" s="63" t="e">
        <f>IF(W10=0,"N/A",PRODUCT(Y10,1/I10))</f>
        <v>#DIV/0!</v>
      </c>
      <c r="AB10" s="62"/>
      <c r="AC10" s="79">
        <f>SUM(W10,-Q10)</f>
        <v>-17872.419999999998</v>
      </c>
      <c r="AD10" s="62"/>
      <c r="AE10" s="63">
        <f>IF(W10=0,"N/A",PRODUCT(AC10,1/Q10))</f>
        <v>-0.58844240926472102</v>
      </c>
      <c r="AF10" s="57"/>
      <c r="AG10" s="57"/>
      <c r="AH10" s="57"/>
      <c r="AI10" s="57"/>
      <c r="AJ10" s="57"/>
    </row>
    <row r="11" spans="1:36" ht="12.75" customHeight="1" x14ac:dyDescent="0.2">
      <c r="A11" s="64" t="s">
        <v>775</v>
      </c>
      <c r="C11" s="81">
        <f>SUM(C10:C10)</f>
        <v>15044.29</v>
      </c>
      <c r="E11" s="81">
        <f>SUM(E10:E10)</f>
        <v>451.27</v>
      </c>
      <c r="G11" s="81">
        <f>SUM(G10:G10)</f>
        <v>3982.4</v>
      </c>
      <c r="I11" s="81">
        <f>SUM(I10:I10)</f>
        <v>0</v>
      </c>
      <c r="K11" s="81">
        <f>SUM(K10:K10)</f>
        <v>0</v>
      </c>
      <c r="M11" s="81">
        <f>SUM(M10:M10)</f>
        <v>30372.42</v>
      </c>
      <c r="O11" s="81">
        <f>SUM(O10:O10)</f>
        <v>0</v>
      </c>
      <c r="Q11" s="81">
        <f>SUM(Q10:Q10)</f>
        <v>30372.42</v>
      </c>
      <c r="S11" s="81">
        <f>SUM(S10:S10)</f>
        <v>12500</v>
      </c>
      <c r="U11" s="81">
        <f>SUM(U10:U10)</f>
        <v>12500</v>
      </c>
      <c r="W11" s="81">
        <f>SUM(W10:W10)</f>
        <v>12500</v>
      </c>
      <c r="Y11" s="81">
        <f>SUM(Y10:Y10)</f>
        <v>12500</v>
      </c>
      <c r="AA11" s="65" t="e">
        <f>IF(W11=0,"N/A",PRODUCT(Y11,1/I11))</f>
        <v>#DIV/0!</v>
      </c>
      <c r="AB11" s="57"/>
      <c r="AC11" s="81">
        <f>SUM(AC10:AC10)</f>
        <v>-17872.419999999998</v>
      </c>
      <c r="AD11" s="57"/>
      <c r="AE11" s="65">
        <f>IF(W11=0,"N/A",PRODUCT(AC11,1/Q11))</f>
        <v>-0.58844240926472102</v>
      </c>
      <c r="AF11" s="57"/>
      <c r="AG11" s="57"/>
      <c r="AH11" s="57"/>
      <c r="AI11" s="57"/>
      <c r="AJ11" s="57"/>
    </row>
    <row r="12" spans="1:36" ht="12.75" customHeight="1" x14ac:dyDescent="0.2">
      <c r="AB12" s="57"/>
      <c r="AD12" s="57"/>
      <c r="AF12" s="57"/>
      <c r="AG12" s="57"/>
      <c r="AH12" s="57"/>
      <c r="AI12" s="57"/>
      <c r="AJ12" s="57"/>
    </row>
    <row r="13" spans="1:36" ht="12.75" customHeight="1" x14ac:dyDescent="0.2">
      <c r="A13" s="54" t="s">
        <v>776</v>
      </c>
      <c r="AB13" s="57"/>
      <c r="AD13" s="57"/>
      <c r="AF13" s="57"/>
      <c r="AG13" s="57"/>
      <c r="AH13" s="57"/>
      <c r="AI13" s="57"/>
      <c r="AJ13" s="57"/>
    </row>
    <row r="14" spans="1:36" ht="12.75" customHeight="1" x14ac:dyDescent="0.2">
      <c r="A14" s="55" t="s">
        <v>777</v>
      </c>
      <c r="B14" s="56" t="s">
        <v>597</v>
      </c>
      <c r="C14" s="77">
        <v>0</v>
      </c>
      <c r="E14" s="77">
        <v>3270000</v>
      </c>
      <c r="G14" s="77">
        <v>0</v>
      </c>
      <c r="I14" s="77">
        <v>0</v>
      </c>
      <c r="K14" s="77">
        <v>0</v>
      </c>
      <c r="M14" s="77">
        <v>0</v>
      </c>
      <c r="O14" s="77">
        <v>0</v>
      </c>
      <c r="Q14" s="77">
        <f>SUM(M14,O14)</f>
        <v>0</v>
      </c>
      <c r="S14" s="77">
        <v>0</v>
      </c>
      <c r="U14" s="77">
        <v>0</v>
      </c>
      <c r="W14" s="77">
        <v>0</v>
      </c>
      <c r="Y14" s="77">
        <f>SUM(W14,-I14)</f>
        <v>0</v>
      </c>
      <c r="AA14" s="58" t="str">
        <f>IF(W14=0,"N/A",PRODUCT(Y14,1/I14))</f>
        <v>N/A</v>
      </c>
      <c r="AB14" s="57"/>
      <c r="AC14" s="77">
        <f>SUM(W14,-Q14)</f>
        <v>0</v>
      </c>
      <c r="AD14" s="57"/>
      <c r="AE14" s="58" t="str">
        <f>IF(W14=0,"N/A",PRODUCT(AC14,1/Q14))</f>
        <v>N/A</v>
      </c>
      <c r="AF14" s="57"/>
      <c r="AG14" s="57"/>
      <c r="AH14" s="57"/>
      <c r="AI14" s="57"/>
      <c r="AJ14" s="57"/>
    </row>
    <row r="15" spans="1:36" ht="12.75" customHeight="1" x14ac:dyDescent="0.2">
      <c r="A15" s="59" t="s">
        <v>778</v>
      </c>
      <c r="B15" s="60" t="s">
        <v>779</v>
      </c>
      <c r="C15" s="79">
        <v>0</v>
      </c>
      <c r="D15" s="80"/>
      <c r="E15" s="79">
        <v>25663.200000000001</v>
      </c>
      <c r="F15" s="80"/>
      <c r="G15" s="79">
        <v>0</v>
      </c>
      <c r="H15" s="79"/>
      <c r="I15" s="79">
        <v>0</v>
      </c>
      <c r="J15" s="79"/>
      <c r="K15" s="79">
        <v>0</v>
      </c>
      <c r="L15" s="79"/>
      <c r="M15" s="79">
        <v>0</v>
      </c>
      <c r="N15" s="79"/>
      <c r="O15" s="79">
        <v>0</v>
      </c>
      <c r="P15" s="79"/>
      <c r="Q15" s="79">
        <f>SUM(M15,O15)</f>
        <v>0</v>
      </c>
      <c r="R15" s="79"/>
      <c r="S15" s="79">
        <v>0</v>
      </c>
      <c r="T15" s="79"/>
      <c r="U15" s="79">
        <v>0</v>
      </c>
      <c r="V15" s="79"/>
      <c r="W15" s="79">
        <v>0</v>
      </c>
      <c r="X15" s="79"/>
      <c r="Y15" s="79">
        <f>SUM(W15,-I15)</f>
        <v>0</v>
      </c>
      <c r="Z15" s="79"/>
      <c r="AA15" s="63" t="str">
        <f>IF(W15=0,"N/A",PRODUCT(Y15,1/I15))</f>
        <v>N/A</v>
      </c>
      <c r="AB15" s="62"/>
      <c r="AC15" s="79">
        <f>SUM(W15,-Q15)</f>
        <v>0</v>
      </c>
      <c r="AD15" s="62"/>
      <c r="AE15" s="63" t="str">
        <f>IF(W15=0,"N/A",PRODUCT(AC15,1/Q15))</f>
        <v>N/A</v>
      </c>
      <c r="AF15" s="57"/>
      <c r="AG15" s="57"/>
      <c r="AH15" s="57"/>
      <c r="AI15" s="57"/>
      <c r="AJ15" s="57"/>
    </row>
    <row r="16" spans="1:36" ht="12.75" customHeight="1" x14ac:dyDescent="0.2">
      <c r="A16" s="64" t="s">
        <v>784</v>
      </c>
      <c r="C16" s="81">
        <f>SUM(C14:C15)</f>
        <v>0</v>
      </c>
      <c r="E16" s="81">
        <f>SUM(E14:E15)</f>
        <v>3295663.2</v>
      </c>
      <c r="G16" s="81">
        <f>SUM(G14:G15)</f>
        <v>0</v>
      </c>
      <c r="I16" s="81">
        <f>SUM(I14:I15)</f>
        <v>0</v>
      </c>
      <c r="K16" s="81">
        <f>SUM(K14:K15)</f>
        <v>0</v>
      </c>
      <c r="M16" s="81">
        <f>SUM(M14:M15)</f>
        <v>0</v>
      </c>
      <c r="O16" s="81">
        <f>SUM(O14:O15)</f>
        <v>0</v>
      </c>
      <c r="Q16" s="81">
        <f>SUM(Q14:Q15)</f>
        <v>0</v>
      </c>
      <c r="S16" s="81">
        <f>SUM(S14:S15)</f>
        <v>0</v>
      </c>
      <c r="U16" s="81">
        <f>SUM(U14:U15)</f>
        <v>0</v>
      </c>
      <c r="W16" s="81">
        <f>SUM(W14:W15)</f>
        <v>0</v>
      </c>
      <c r="Y16" s="81">
        <f>SUM(Y14:Y15)</f>
        <v>0</v>
      </c>
      <c r="AA16" s="65" t="str">
        <f>IF(W16=0,"N/A",PRODUCT(Y16,1/I16))</f>
        <v>N/A</v>
      </c>
      <c r="AB16" s="57"/>
      <c r="AC16" s="81">
        <f>SUM(AC14:AC15)</f>
        <v>0</v>
      </c>
      <c r="AD16" s="57"/>
      <c r="AE16" s="65" t="str">
        <f>IF(W16=0,"N/A",PRODUCT(AC16,1/Q16))</f>
        <v>N/A</v>
      </c>
      <c r="AF16" s="57"/>
      <c r="AG16" s="57"/>
      <c r="AH16" s="57"/>
      <c r="AI16" s="57"/>
      <c r="AJ16" s="57"/>
    </row>
    <row r="17" spans="1:36" ht="12.75" customHeight="1" x14ac:dyDescent="0.2">
      <c r="AB17" s="57"/>
      <c r="AD17" s="57"/>
      <c r="AF17" s="57"/>
      <c r="AG17" s="57"/>
      <c r="AH17" s="57"/>
      <c r="AI17" s="57"/>
      <c r="AJ17" s="57"/>
    </row>
    <row r="18" spans="1:36" ht="12.75" customHeight="1" thickBot="1" x14ac:dyDescent="0.25">
      <c r="A18" s="67" t="s">
        <v>762</v>
      </c>
      <c r="C18" s="83">
        <f>SUM(C7,C11,C16)</f>
        <v>581670.37</v>
      </c>
      <c r="E18" s="83">
        <f>SUM(E7,E11,E16)</f>
        <v>3848788.83</v>
      </c>
      <c r="G18" s="83">
        <f>SUM(G7,G11,G16)</f>
        <v>340326.28</v>
      </c>
      <c r="I18" s="83">
        <f>SUM(I7,I11,I16)</f>
        <v>0</v>
      </c>
      <c r="K18" s="83">
        <f>SUM(K7,K11,K16)</f>
        <v>0</v>
      </c>
      <c r="M18" s="82">
        <f>SUM(M7,M11,M16)</f>
        <v>377916.38999999996</v>
      </c>
      <c r="O18" s="82">
        <f>SUM(O7,O11,O16)</f>
        <v>0</v>
      </c>
      <c r="Q18" s="83">
        <f>SUM(Q7,Q11,Q16)</f>
        <v>377916.38999999996</v>
      </c>
      <c r="S18" s="82">
        <f>SUM(S7,S11,S16)</f>
        <v>342500</v>
      </c>
      <c r="U18" s="82">
        <f>SUM(U7,U11,U16)</f>
        <v>342500</v>
      </c>
      <c r="W18" s="83">
        <f>SUM(W7,W11,W16)</f>
        <v>342500</v>
      </c>
      <c r="Y18" s="82">
        <f>SUM(Y7,Y11,Y16)</f>
        <v>342500</v>
      </c>
      <c r="AA18" s="125" t="e">
        <f>IF(W18=0,"N/A",PRODUCT(Y18,1/I18))</f>
        <v>#DIV/0!</v>
      </c>
      <c r="AB18" s="57"/>
      <c r="AC18" s="82">
        <f>SUM(AC7,AC11,AC16)</f>
        <v>-35416.38999999997</v>
      </c>
      <c r="AD18" s="57"/>
      <c r="AE18" s="125">
        <f>IF(W18=0,"N/A",PRODUCT(AC18,1/Q18))</f>
        <v>-9.3714882278590719E-2</v>
      </c>
      <c r="AF18" s="57"/>
      <c r="AG18" s="57"/>
      <c r="AH18" s="57"/>
      <c r="AI18" s="57"/>
      <c r="AJ18" s="57"/>
    </row>
    <row r="19" spans="1:36" ht="12.75" customHeight="1" thickTop="1" x14ac:dyDescent="0.2">
      <c r="AB19" s="57"/>
      <c r="AD19" s="57"/>
      <c r="AF19" s="57"/>
      <c r="AG19" s="57"/>
      <c r="AH19" s="57"/>
      <c r="AI19" s="57"/>
      <c r="AJ19" s="57"/>
    </row>
    <row r="20" spans="1:36" ht="12.75" customHeight="1" x14ac:dyDescent="0.2">
      <c r="AB20" s="57"/>
      <c r="AD20" s="57"/>
      <c r="AF20" s="57"/>
      <c r="AG20" s="57"/>
      <c r="AH20" s="57"/>
      <c r="AI20" s="57"/>
      <c r="AJ20" s="57"/>
    </row>
    <row r="21" spans="1:36" ht="12.75" customHeight="1" x14ac:dyDescent="0.2">
      <c r="AB21" s="57"/>
      <c r="AD21" s="57"/>
      <c r="AF21" s="57"/>
      <c r="AG21" s="57"/>
      <c r="AH21" s="57"/>
      <c r="AI21" s="57"/>
      <c r="AJ21" s="57"/>
    </row>
    <row r="22" spans="1:36" ht="12.75" customHeight="1" x14ac:dyDescent="0.2">
      <c r="A22" s="67" t="s">
        <v>763</v>
      </c>
      <c r="AB22" s="57"/>
      <c r="AD22" s="57"/>
      <c r="AF22" s="57"/>
      <c r="AG22" s="57"/>
      <c r="AH22" s="57"/>
      <c r="AI22" s="57"/>
      <c r="AJ22" s="57"/>
    </row>
    <row r="23" spans="1:36" ht="12.75" customHeight="1" x14ac:dyDescent="0.2">
      <c r="A23" s="54" t="s">
        <v>842</v>
      </c>
      <c r="AB23" s="57"/>
      <c r="AD23" s="57"/>
      <c r="AF23" s="57"/>
      <c r="AG23" s="57"/>
      <c r="AH23" s="57"/>
      <c r="AI23" s="57"/>
      <c r="AJ23" s="57"/>
    </row>
    <row r="24" spans="1:36" ht="12.75" customHeight="1" x14ac:dyDescent="0.2">
      <c r="A24" s="55" t="s">
        <v>764</v>
      </c>
      <c r="B24" s="56" t="s">
        <v>766</v>
      </c>
      <c r="C24" s="77">
        <v>304318.75</v>
      </c>
      <c r="E24" s="77">
        <v>367470.05</v>
      </c>
      <c r="G24" s="77">
        <v>97062.5</v>
      </c>
      <c r="I24" s="77">
        <v>0</v>
      </c>
      <c r="K24" s="77">
        <v>0</v>
      </c>
      <c r="M24" s="77">
        <v>90687.5</v>
      </c>
      <c r="O24" s="77">
        <v>0</v>
      </c>
      <c r="Q24" s="77">
        <f>SUM(M24,O24)</f>
        <v>90687.5</v>
      </c>
      <c r="S24" s="77">
        <v>84238</v>
      </c>
      <c r="U24" s="77">
        <v>84238</v>
      </c>
      <c r="W24" s="77">
        <v>84238</v>
      </c>
      <c r="Y24" s="77">
        <f>SUM(W24,-I24)</f>
        <v>84238</v>
      </c>
      <c r="AA24" s="58" t="e">
        <f>IF(W24=0,"N/A",PRODUCT(Y24,1/I24))</f>
        <v>#DIV/0!</v>
      </c>
      <c r="AB24" s="57"/>
      <c r="AC24" s="77">
        <f>SUM(W24,-Q24)</f>
        <v>-6449.5</v>
      </c>
      <c r="AD24" s="57"/>
      <c r="AE24" s="58">
        <f>IF(W24=0,"N/A",PRODUCT(AC24,1/Q24))</f>
        <v>-7.1117849758787044E-2</v>
      </c>
      <c r="AF24" s="57"/>
      <c r="AG24" s="57"/>
      <c r="AH24" s="57"/>
      <c r="AI24" s="57"/>
      <c r="AJ24" s="57"/>
    </row>
    <row r="25" spans="1:36" ht="12.75" customHeight="1" x14ac:dyDescent="0.2">
      <c r="A25" s="59" t="s">
        <v>765</v>
      </c>
      <c r="B25" s="60" t="s">
        <v>767</v>
      </c>
      <c r="C25" s="79">
        <v>169000</v>
      </c>
      <c r="D25" s="80"/>
      <c r="E25" s="79">
        <v>0</v>
      </c>
      <c r="F25" s="80"/>
      <c r="G25" s="79">
        <v>215000</v>
      </c>
      <c r="H25" s="79"/>
      <c r="I25" s="79">
        <v>0</v>
      </c>
      <c r="J25" s="79"/>
      <c r="K25" s="79">
        <v>0</v>
      </c>
      <c r="L25" s="79"/>
      <c r="M25" s="79">
        <v>210000</v>
      </c>
      <c r="N25" s="79"/>
      <c r="O25" s="79">
        <v>0</v>
      </c>
      <c r="P25" s="79"/>
      <c r="Q25" s="79">
        <f>SUM(M25,O25)</f>
        <v>210000</v>
      </c>
      <c r="R25" s="79"/>
      <c r="S25" s="79">
        <v>220000</v>
      </c>
      <c r="T25" s="79"/>
      <c r="U25" s="79">
        <v>220000</v>
      </c>
      <c r="V25" s="79"/>
      <c r="W25" s="79">
        <v>220000</v>
      </c>
      <c r="X25" s="79"/>
      <c r="Y25" s="79">
        <f>SUM(W25,-I25)</f>
        <v>220000</v>
      </c>
      <c r="Z25" s="79"/>
      <c r="AA25" s="63" t="e">
        <f>IF(W25=0,"N/A",PRODUCT(Y25,1/I25))</f>
        <v>#DIV/0!</v>
      </c>
      <c r="AB25" s="62"/>
      <c r="AC25" s="79">
        <f>SUM(W25,-Q25)</f>
        <v>10000</v>
      </c>
      <c r="AD25" s="62"/>
      <c r="AE25" s="63">
        <f>IF(W25=0,"N/A",PRODUCT(AC25,1/Q25))</f>
        <v>4.7619047619047616E-2</v>
      </c>
      <c r="AF25" s="57"/>
      <c r="AG25" s="57"/>
      <c r="AH25" s="57"/>
      <c r="AI25" s="57"/>
      <c r="AJ25" s="57"/>
    </row>
    <row r="26" spans="1:36" ht="12.75" customHeight="1" x14ac:dyDescent="0.2">
      <c r="A26" s="55" t="s">
        <v>768</v>
      </c>
      <c r="B26" s="56" t="s">
        <v>769</v>
      </c>
      <c r="C26" s="77">
        <v>17106.25</v>
      </c>
      <c r="E26" s="77">
        <v>16187.5</v>
      </c>
      <c r="G26" s="77">
        <v>3762.5</v>
      </c>
      <c r="I26" s="77">
        <v>0</v>
      </c>
      <c r="K26" s="77">
        <v>0</v>
      </c>
      <c r="M26" s="77">
        <v>0</v>
      </c>
      <c r="O26" s="77">
        <f>PRODUCT(M26,0/12)</f>
        <v>0</v>
      </c>
      <c r="Q26" s="77">
        <f>SUM(M26,O26)</f>
        <v>0</v>
      </c>
      <c r="S26" s="77">
        <v>0</v>
      </c>
      <c r="U26" s="77">
        <v>0</v>
      </c>
      <c r="W26" s="77">
        <v>0</v>
      </c>
      <c r="Y26" s="77">
        <f>SUM(W26,-I26)</f>
        <v>0</v>
      </c>
      <c r="AA26" s="58" t="str">
        <f>IF(W26=0,"N/A",PRODUCT(Y26,1/I26))</f>
        <v>N/A</v>
      </c>
      <c r="AB26" s="57"/>
      <c r="AC26" s="77">
        <f>SUM(W26,-Q26)</f>
        <v>0</v>
      </c>
      <c r="AD26" s="57"/>
      <c r="AE26" s="58" t="str">
        <f>IF(W26=0,"N/A",PRODUCT(AC26,1/Q26))</f>
        <v>N/A</v>
      </c>
      <c r="AF26" s="57"/>
      <c r="AG26" s="57"/>
      <c r="AH26" s="57"/>
      <c r="AI26" s="57"/>
      <c r="AJ26" s="57"/>
    </row>
    <row r="27" spans="1:36" ht="12.75" customHeight="1" x14ac:dyDescent="0.2">
      <c r="A27" s="59" t="s">
        <v>770</v>
      </c>
      <c r="B27" s="60" t="s">
        <v>248</v>
      </c>
      <c r="C27" s="79">
        <v>13691</v>
      </c>
      <c r="D27" s="80"/>
      <c r="E27" s="79">
        <v>3498</v>
      </c>
      <c r="F27" s="80"/>
      <c r="G27" s="79">
        <v>22789.71</v>
      </c>
      <c r="H27" s="79"/>
      <c r="I27" s="79">
        <v>0</v>
      </c>
      <c r="J27" s="79"/>
      <c r="K27" s="79">
        <v>0</v>
      </c>
      <c r="L27" s="79"/>
      <c r="M27" s="79">
        <v>26219.25</v>
      </c>
      <c r="N27" s="79"/>
      <c r="O27" s="79">
        <f>PRODUCT(M27,0/12)</f>
        <v>0</v>
      </c>
      <c r="P27" s="79"/>
      <c r="Q27" s="79">
        <f>SUM(M27,O27)</f>
        <v>26219.25</v>
      </c>
      <c r="R27" s="79"/>
      <c r="S27" s="79">
        <v>38262</v>
      </c>
      <c r="T27" s="79"/>
      <c r="U27" s="79">
        <v>38262</v>
      </c>
      <c r="V27" s="79"/>
      <c r="W27" s="79">
        <v>38262</v>
      </c>
      <c r="X27" s="79"/>
      <c r="Y27" s="79">
        <f>SUM(W27,-I27)</f>
        <v>38262</v>
      </c>
      <c r="Z27" s="79"/>
      <c r="AA27" s="63" t="e">
        <f>IF(W27=0,"N/A",PRODUCT(Y27,1/I27))</f>
        <v>#DIV/0!</v>
      </c>
      <c r="AB27" s="62"/>
      <c r="AC27" s="79">
        <f>SUM(W27,-Q27)</f>
        <v>12042.75</v>
      </c>
      <c r="AD27" s="62"/>
      <c r="AE27" s="63">
        <f>IF(W27=0,"N/A",PRODUCT(AC27,1/Q27))</f>
        <v>0.45930947681569839</v>
      </c>
      <c r="AF27" s="57"/>
      <c r="AG27" s="57"/>
      <c r="AH27" s="57"/>
      <c r="AI27" s="57"/>
      <c r="AJ27" s="57"/>
    </row>
    <row r="28" spans="1:36" ht="12.75" customHeight="1" x14ac:dyDescent="0.2">
      <c r="A28" s="64" t="s">
        <v>901</v>
      </c>
      <c r="C28" s="81">
        <f>SUM(C24:C27)</f>
        <v>504116</v>
      </c>
      <c r="E28" s="81">
        <f>SUM(E24:E27)</f>
        <v>387155.55</v>
      </c>
      <c r="G28" s="81">
        <f>SUM(G24:G27)</f>
        <v>338614.71</v>
      </c>
      <c r="I28" s="81">
        <f>SUM(I24:I27)</f>
        <v>0</v>
      </c>
      <c r="K28" s="81">
        <f>SUM(K24:K27)</f>
        <v>0</v>
      </c>
      <c r="M28" s="81">
        <f>SUM(M24:M27)</f>
        <v>326906.75</v>
      </c>
      <c r="O28" s="81">
        <f>SUM(O24:O27)</f>
        <v>0</v>
      </c>
      <c r="Q28" s="81">
        <f>SUM(Q24:Q27)</f>
        <v>326906.75</v>
      </c>
      <c r="S28" s="81">
        <f>SUM(S24:S27)</f>
        <v>342500</v>
      </c>
      <c r="U28" s="81">
        <f>SUM(U24:U27)</f>
        <v>342500</v>
      </c>
      <c r="W28" s="81">
        <f>SUM(W24:W27)</f>
        <v>342500</v>
      </c>
      <c r="Y28" s="81">
        <f>SUM(Y24:Y27)</f>
        <v>342500</v>
      </c>
      <c r="AA28" s="65" t="e">
        <f>IF(W28=0,"N/A",PRODUCT(Y28,1/I28))</f>
        <v>#DIV/0!</v>
      </c>
      <c r="AB28" s="57"/>
      <c r="AC28" s="81">
        <f>SUM(AC24:AC27)</f>
        <v>15593.25</v>
      </c>
      <c r="AD28" s="57"/>
      <c r="AE28" s="65">
        <f>IF(W28=0,"N/A",PRODUCT(AC28,1/Q28))</f>
        <v>4.7699382163262152E-2</v>
      </c>
      <c r="AF28" s="57"/>
      <c r="AG28" s="57"/>
      <c r="AH28" s="57"/>
      <c r="AI28" s="57"/>
      <c r="AJ28" s="57"/>
    </row>
    <row r="29" spans="1:36" ht="12.75" customHeight="1" x14ac:dyDescent="0.2"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A30" s="54" t="s">
        <v>69</v>
      </c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A31" s="55" t="s">
        <v>780</v>
      </c>
      <c r="B31" s="56" t="s">
        <v>781</v>
      </c>
      <c r="C31" s="77">
        <v>0</v>
      </c>
      <c r="E31" s="77">
        <v>301052.28999999998</v>
      </c>
      <c r="G31" s="77">
        <v>0</v>
      </c>
      <c r="I31" s="77">
        <v>0</v>
      </c>
      <c r="K31" s="77">
        <v>0</v>
      </c>
      <c r="M31" s="77">
        <v>0</v>
      </c>
      <c r="O31" s="77">
        <v>0</v>
      </c>
      <c r="Q31" s="77">
        <f>SUM(M31,O31)</f>
        <v>0</v>
      </c>
      <c r="S31" s="77">
        <v>0</v>
      </c>
      <c r="U31" s="77">
        <v>0</v>
      </c>
      <c r="W31" s="77">
        <v>0</v>
      </c>
      <c r="Y31" s="77">
        <f>SUM(W31,-I31)</f>
        <v>0</v>
      </c>
      <c r="AA31" s="58" t="str">
        <f>IF(W31=0,"N/A",PRODUCT(Y31,1/I31))</f>
        <v>N/A</v>
      </c>
      <c r="AB31" s="57"/>
      <c r="AC31" s="77">
        <f>SUM(W31,-Q31)</f>
        <v>0</v>
      </c>
      <c r="AD31" s="57"/>
      <c r="AE31" s="58" t="str">
        <f>IF(W31=0,"N/A",PRODUCT(AC31,1/Q31))</f>
        <v>N/A</v>
      </c>
      <c r="AF31" s="57"/>
      <c r="AG31" s="57"/>
      <c r="AH31" s="57"/>
      <c r="AI31" s="57"/>
      <c r="AJ31" s="57"/>
    </row>
    <row r="32" spans="1:36" ht="12.75" customHeight="1" x14ac:dyDescent="0.2">
      <c r="A32" s="59" t="s">
        <v>782</v>
      </c>
      <c r="B32" s="60" t="s">
        <v>783</v>
      </c>
      <c r="C32" s="79">
        <v>0</v>
      </c>
      <c r="D32" s="80"/>
      <c r="E32" s="79">
        <v>3949845.28</v>
      </c>
      <c r="F32" s="80"/>
      <c r="G32" s="79">
        <v>0</v>
      </c>
      <c r="H32" s="79"/>
      <c r="I32" s="79">
        <v>0</v>
      </c>
      <c r="J32" s="79"/>
      <c r="K32" s="79">
        <v>0</v>
      </c>
      <c r="L32" s="79"/>
      <c r="M32" s="79">
        <v>0</v>
      </c>
      <c r="N32" s="79"/>
      <c r="O32" s="79">
        <v>0</v>
      </c>
      <c r="P32" s="79"/>
      <c r="Q32" s="79">
        <f>SUM(M32,O32)</f>
        <v>0</v>
      </c>
      <c r="R32" s="79"/>
      <c r="S32" s="79">
        <v>0</v>
      </c>
      <c r="T32" s="79"/>
      <c r="U32" s="79">
        <v>0</v>
      </c>
      <c r="V32" s="79"/>
      <c r="W32" s="79">
        <v>0</v>
      </c>
      <c r="X32" s="79"/>
      <c r="Y32" s="79">
        <f>SUM(W32,-I32)</f>
        <v>0</v>
      </c>
      <c r="Z32" s="79"/>
      <c r="AA32" s="63" t="str">
        <f>IF(W32=0,"N/A",PRODUCT(Y32,1/I32))</f>
        <v>N/A</v>
      </c>
      <c r="AB32" s="62"/>
      <c r="AC32" s="79">
        <f>SUM(W32,-Q32)</f>
        <v>0</v>
      </c>
      <c r="AD32" s="62"/>
      <c r="AE32" s="63" t="str">
        <f>IF(W32=0,"N/A",PRODUCT(AC32,1/Q32))</f>
        <v>N/A</v>
      </c>
      <c r="AF32" s="57"/>
      <c r="AG32" s="57"/>
      <c r="AH32" s="57"/>
      <c r="AI32" s="57"/>
      <c r="AJ32" s="57"/>
    </row>
    <row r="33" spans="1:36" ht="12.75" customHeight="1" x14ac:dyDescent="0.2">
      <c r="A33" s="64" t="s">
        <v>70</v>
      </c>
      <c r="C33" s="81">
        <f>SUM(C31:C32)</f>
        <v>0</v>
      </c>
      <c r="E33" s="81">
        <f>SUM(E31:E32)</f>
        <v>4250897.5699999994</v>
      </c>
      <c r="G33" s="81">
        <f>SUM(G31:G32)</f>
        <v>0</v>
      </c>
      <c r="I33" s="81">
        <f>SUM(I31:I32)</f>
        <v>0</v>
      </c>
      <c r="K33" s="81">
        <f>SUM(K31:K32)</f>
        <v>0</v>
      </c>
      <c r="M33" s="81">
        <f>SUM(M31:M32)</f>
        <v>0</v>
      </c>
      <c r="O33" s="81">
        <f>SUM(O31:O32)</f>
        <v>0</v>
      </c>
      <c r="Q33" s="81">
        <f>SUM(Q31:Q32)</f>
        <v>0</v>
      </c>
      <c r="S33" s="81">
        <f>SUM(S31:S32)</f>
        <v>0</v>
      </c>
      <c r="U33" s="81">
        <f>SUM(U31:U32)</f>
        <v>0</v>
      </c>
      <c r="W33" s="81">
        <f>SUM(W31:W32)</f>
        <v>0</v>
      </c>
      <c r="Y33" s="81">
        <f>SUM(Y31:Y32)</f>
        <v>0</v>
      </c>
      <c r="AA33" s="65" t="str">
        <f>IF(W33=0,"N/A",PRODUCT(Y33,1/I33))</f>
        <v>N/A</v>
      </c>
      <c r="AB33" s="57"/>
      <c r="AC33" s="81">
        <f>SUM(AC31:AC32)</f>
        <v>0</v>
      </c>
      <c r="AD33" s="57"/>
      <c r="AE33" s="65" t="str">
        <f>IF(W33=0,"N/A",PRODUCT(AC33,1/Q33))</f>
        <v>N/A</v>
      </c>
      <c r="AF33" s="57"/>
      <c r="AG33" s="57"/>
      <c r="AH33" s="57"/>
      <c r="AI33" s="57"/>
      <c r="AJ33" s="57"/>
    </row>
    <row r="34" spans="1:36" ht="12.75" customHeight="1" x14ac:dyDescent="0.2">
      <c r="AB34" s="57"/>
      <c r="AD34" s="57"/>
      <c r="AF34" s="57"/>
      <c r="AG34" s="57"/>
      <c r="AH34" s="57"/>
      <c r="AI34" s="57"/>
      <c r="AJ34" s="57"/>
    </row>
    <row r="35" spans="1:36" ht="12.75" customHeight="1" thickBot="1" x14ac:dyDescent="0.25">
      <c r="A35" s="67" t="s">
        <v>785</v>
      </c>
      <c r="C35" s="83">
        <f>SUM(C28,C33)</f>
        <v>504116</v>
      </c>
      <c r="E35" s="83">
        <f>SUM(E28,E33)</f>
        <v>4638053.1199999992</v>
      </c>
      <c r="G35" s="83">
        <f>SUM(G28,G33)</f>
        <v>338614.71</v>
      </c>
      <c r="I35" s="83">
        <f>SUM(I28,I33)</f>
        <v>0</v>
      </c>
      <c r="K35" s="83">
        <f>SUM(K28,K33)</f>
        <v>0</v>
      </c>
      <c r="M35" s="82">
        <f>SUM(M28,M33)</f>
        <v>326906.75</v>
      </c>
      <c r="O35" s="82">
        <f>SUM(O28,O33)</f>
        <v>0</v>
      </c>
      <c r="Q35" s="83">
        <f>SUM(Q28,Q33)</f>
        <v>326906.75</v>
      </c>
      <c r="S35" s="82">
        <f>SUM(S28,S33)</f>
        <v>342500</v>
      </c>
      <c r="U35" s="82">
        <f>SUM(U28,U33)</f>
        <v>342500</v>
      </c>
      <c r="W35" s="83">
        <f>SUM(W28,W33)</f>
        <v>342500</v>
      </c>
      <c r="Y35" s="82">
        <f>SUM(Y28,Y33)</f>
        <v>342500</v>
      </c>
      <c r="AA35" s="125" t="e">
        <f>IF(W35=0,"N/A",PRODUCT(Y35,1/I35))</f>
        <v>#DIV/0!</v>
      </c>
      <c r="AB35" s="57"/>
      <c r="AC35" s="82">
        <f>SUM(AC28,AC33)</f>
        <v>15593.25</v>
      </c>
      <c r="AD35" s="57"/>
      <c r="AE35" s="125">
        <f>IF(W35=0,"N/A",PRODUCT(AC35,1/Q35))</f>
        <v>4.7699382163262152E-2</v>
      </c>
      <c r="AF35" s="57"/>
      <c r="AG35" s="57"/>
      <c r="AH35" s="57"/>
      <c r="AI35" s="57"/>
      <c r="AJ35" s="57"/>
    </row>
    <row r="36" spans="1:36" ht="12.75" customHeight="1" thickTop="1" x14ac:dyDescent="0.2">
      <c r="AB36" s="57"/>
      <c r="AD36" s="57"/>
      <c r="AF36" s="57"/>
      <c r="AG36" s="57"/>
      <c r="AH36" s="57"/>
      <c r="AI36" s="57"/>
      <c r="AJ36" s="57"/>
    </row>
    <row r="37" spans="1:36" ht="12.75" customHeight="1" x14ac:dyDescent="0.2">
      <c r="AB37" s="57"/>
      <c r="AD37" s="57"/>
      <c r="AF37" s="57"/>
      <c r="AG37" s="57"/>
      <c r="AH37" s="57"/>
      <c r="AI37" s="57"/>
      <c r="AJ37" s="57"/>
    </row>
    <row r="38" spans="1:36" ht="12.75" customHeight="1" x14ac:dyDescent="0.2">
      <c r="AB38" s="57"/>
      <c r="AD38" s="57"/>
      <c r="AF38" s="57"/>
      <c r="AG38" s="57"/>
      <c r="AH38" s="57"/>
      <c r="AI38" s="57"/>
      <c r="AJ38" s="57"/>
    </row>
    <row r="39" spans="1:36" ht="12.75" customHeight="1" x14ac:dyDescent="0.2">
      <c r="A39" s="67" t="s">
        <v>786</v>
      </c>
      <c r="C39" s="88">
        <f>SUM(C18,-C35)</f>
        <v>77554.37</v>
      </c>
      <c r="E39" s="88">
        <f>SUM(E18,-E35)</f>
        <v>-789264.28999999911</v>
      </c>
      <c r="G39" s="88">
        <f>SUM(G18,-G35)</f>
        <v>1711.570000000007</v>
      </c>
      <c r="I39" s="88">
        <f>SUM(I18,-I35)</f>
        <v>0</v>
      </c>
      <c r="K39" s="88">
        <f>SUM(K18,-K35)</f>
        <v>0</v>
      </c>
      <c r="M39" s="88">
        <f>SUM(M18,-M35)</f>
        <v>51009.639999999956</v>
      </c>
      <c r="O39" s="88">
        <f>SUM(O18,-O35)</f>
        <v>0</v>
      </c>
      <c r="Q39" s="88">
        <f>SUM(Q18,-Q35)</f>
        <v>51009.639999999956</v>
      </c>
      <c r="S39" s="88">
        <f>SUM(S18,-S35)</f>
        <v>0</v>
      </c>
      <c r="U39" s="88">
        <f>SUM(U18,-U35)</f>
        <v>0</v>
      </c>
      <c r="W39" s="88">
        <f>SUM(W18,-W35)</f>
        <v>0</v>
      </c>
      <c r="AB39" s="57"/>
      <c r="AD39" s="57"/>
      <c r="AE39" s="65"/>
      <c r="AF39" s="57"/>
      <c r="AG39" s="57"/>
      <c r="AH39" s="57"/>
      <c r="AI39" s="57"/>
      <c r="AJ39" s="57"/>
    </row>
    <row r="40" spans="1:36" ht="12.75" customHeight="1" x14ac:dyDescent="0.2">
      <c r="AB40" s="57"/>
      <c r="AD40" s="57"/>
      <c r="AF40" s="57"/>
      <c r="AG40" s="57"/>
      <c r="AH40" s="57"/>
      <c r="AI40" s="57"/>
      <c r="AJ40" s="57"/>
    </row>
    <row r="41" spans="1:36" ht="12.75" customHeight="1" x14ac:dyDescent="0.2">
      <c r="A41" s="70" t="s">
        <v>787</v>
      </c>
      <c r="C41" s="77">
        <v>1512272</v>
      </c>
      <c r="E41" s="77">
        <f>C45</f>
        <v>1589826.37</v>
      </c>
      <c r="G41" s="77">
        <f>E45</f>
        <v>800562.08000000101</v>
      </c>
      <c r="I41" s="77">
        <f>G45</f>
        <v>802273.65000000107</v>
      </c>
      <c r="K41" s="77">
        <f>G45</f>
        <v>802273.65000000107</v>
      </c>
      <c r="Q41" s="77">
        <f>G45</f>
        <v>802273.65000000107</v>
      </c>
      <c r="W41" s="77">
        <f>Q45</f>
        <v>853283.29000000097</v>
      </c>
      <c r="AB41" s="57"/>
      <c r="AD41" s="57"/>
      <c r="AF41" s="57"/>
      <c r="AG41" s="57"/>
      <c r="AH41" s="57"/>
      <c r="AI41" s="57"/>
      <c r="AJ41" s="57"/>
    </row>
    <row r="42" spans="1:36" ht="12.75" customHeight="1" x14ac:dyDescent="0.2">
      <c r="AB42" s="57"/>
      <c r="AD42" s="57"/>
      <c r="AF42" s="57"/>
      <c r="AG42" s="57"/>
      <c r="AH42" s="57"/>
      <c r="AI42" s="57"/>
      <c r="AJ42" s="57"/>
    </row>
    <row r="43" spans="1:36" ht="12.75" customHeight="1" x14ac:dyDescent="0.2">
      <c r="A43" s="70" t="s">
        <v>788</v>
      </c>
      <c r="C43" s="77">
        <v>0</v>
      </c>
      <c r="E43" s="77">
        <v>0</v>
      </c>
      <c r="G43" s="77">
        <v>0</v>
      </c>
      <c r="I43" s="77">
        <v>0</v>
      </c>
      <c r="K43" s="77">
        <v>0</v>
      </c>
      <c r="Q43" s="77">
        <v>0</v>
      </c>
      <c r="W43" s="77">
        <v>0</v>
      </c>
      <c r="AB43" s="57"/>
      <c r="AD43" s="57"/>
      <c r="AF43" s="57"/>
      <c r="AG43" s="57"/>
      <c r="AH43" s="57"/>
      <c r="AI43" s="57"/>
      <c r="AJ43" s="57"/>
    </row>
    <row r="44" spans="1:36" ht="12.75" customHeight="1" x14ac:dyDescent="0.2">
      <c r="AB44" s="57"/>
      <c r="AD44" s="57"/>
      <c r="AF44" s="57"/>
      <c r="AG44" s="57"/>
      <c r="AH44" s="57"/>
      <c r="AI44" s="57"/>
      <c r="AJ44" s="57"/>
    </row>
    <row r="45" spans="1:36" ht="12.75" customHeight="1" thickBot="1" x14ac:dyDescent="0.25">
      <c r="A45" s="67" t="s">
        <v>789</v>
      </c>
      <c r="C45" s="83">
        <f>SUM(C39,C41,C43)</f>
        <v>1589826.37</v>
      </c>
      <c r="E45" s="83">
        <f>SUM(E39,E41,E43)</f>
        <v>800562.08000000101</v>
      </c>
      <c r="G45" s="83">
        <f>SUM(G39,G41,G43)</f>
        <v>802273.65000000107</v>
      </c>
      <c r="I45" s="83">
        <f>SUM(I39,I41,I43)</f>
        <v>802273.65000000107</v>
      </c>
      <c r="K45" s="83">
        <f>SUM(K39,K41,K43)</f>
        <v>802273.65000000107</v>
      </c>
      <c r="M45" s="88"/>
      <c r="O45" s="88"/>
      <c r="Q45" s="83">
        <f>SUM(Q39,Q41,Q43)</f>
        <v>853283.29000000097</v>
      </c>
      <c r="S45" s="88"/>
      <c r="U45" s="88"/>
      <c r="W45" s="83">
        <f>SUM(W39,W41,W43)</f>
        <v>853283.29000000097</v>
      </c>
      <c r="AB45" s="57"/>
      <c r="AD45" s="57"/>
      <c r="AE45" s="65"/>
      <c r="AF45" s="57"/>
      <c r="AG45" s="57"/>
      <c r="AH45" s="57"/>
      <c r="AI45" s="57"/>
      <c r="AJ45" s="57"/>
    </row>
    <row r="46" spans="1:36" ht="12.75" customHeight="1" thickTop="1" x14ac:dyDescent="0.2">
      <c r="AB46" s="57"/>
      <c r="AD46" s="57"/>
      <c r="AF46" s="57"/>
      <c r="AG46" s="57"/>
      <c r="AH46" s="57"/>
      <c r="AI46" s="57"/>
      <c r="AJ46" s="57"/>
    </row>
    <row r="47" spans="1:36" ht="12.75" customHeight="1" x14ac:dyDescent="0.2">
      <c r="AB47" s="57"/>
      <c r="AD47" s="57"/>
      <c r="AF47" s="57"/>
      <c r="AG47" s="57"/>
      <c r="AH47" s="57"/>
      <c r="AI47" s="57"/>
      <c r="AJ47" s="57"/>
    </row>
    <row r="48" spans="1:36" ht="12.75" customHeight="1" x14ac:dyDescent="0.2">
      <c r="AB48" s="57"/>
      <c r="AD48" s="57"/>
      <c r="AF48" s="57"/>
      <c r="AG48" s="57"/>
      <c r="AH48" s="57"/>
      <c r="AI48" s="57"/>
      <c r="AJ48" s="57"/>
    </row>
    <row r="49" spans="28:36" ht="12.75" customHeight="1" x14ac:dyDescent="0.2">
      <c r="AB49" s="57"/>
      <c r="AD49" s="57"/>
      <c r="AF49" s="57"/>
      <c r="AG49" s="57"/>
      <c r="AH49" s="57"/>
      <c r="AI49" s="57"/>
      <c r="AJ49" s="57"/>
    </row>
    <row r="50" spans="28:36" ht="12.75" customHeight="1" x14ac:dyDescent="0.2">
      <c r="AB50" s="57"/>
      <c r="AD50" s="57"/>
      <c r="AF50" s="57"/>
      <c r="AG50" s="57"/>
      <c r="AH50" s="57"/>
      <c r="AI50" s="57"/>
      <c r="AJ50" s="57"/>
    </row>
    <row r="51" spans="28:36" x14ac:dyDescent="0.2">
      <c r="AB51" s="57"/>
      <c r="AD51" s="57"/>
      <c r="AF51" s="57"/>
      <c r="AG51" s="57"/>
      <c r="AH51" s="57"/>
      <c r="AI51" s="57"/>
      <c r="AJ51" s="57"/>
    </row>
    <row r="52" spans="28:36" x14ac:dyDescent="0.2">
      <c r="AB52" s="57"/>
      <c r="AD52" s="57"/>
      <c r="AF52" s="57"/>
      <c r="AG52" s="57"/>
      <c r="AH52" s="57"/>
      <c r="AI52" s="57"/>
      <c r="AJ52" s="57"/>
    </row>
    <row r="53" spans="28:36" x14ac:dyDescent="0.2">
      <c r="AB53" s="57"/>
      <c r="AD53" s="57"/>
      <c r="AF53" s="57"/>
      <c r="AG53" s="57"/>
      <c r="AH53" s="57"/>
      <c r="AI53" s="57"/>
      <c r="AJ53" s="57"/>
    </row>
    <row r="54" spans="28:36" x14ac:dyDescent="0.2">
      <c r="AB54" s="57"/>
      <c r="AD54" s="57"/>
      <c r="AF54" s="57"/>
      <c r="AG54" s="57"/>
      <c r="AH54" s="57"/>
      <c r="AI54" s="57"/>
      <c r="AJ54" s="57"/>
    </row>
    <row r="55" spans="28:36" x14ac:dyDescent="0.2">
      <c r="AB55" s="57"/>
      <c r="AD55" s="57"/>
      <c r="AF55" s="57"/>
      <c r="AG55" s="57"/>
      <c r="AH55" s="57"/>
      <c r="AI55" s="57"/>
      <c r="AJ55" s="57"/>
    </row>
    <row r="56" spans="28:36" x14ac:dyDescent="0.2">
      <c r="AB56" s="57"/>
      <c r="AD56" s="57"/>
      <c r="AF56" s="57"/>
      <c r="AG56" s="57"/>
      <c r="AH56" s="57"/>
      <c r="AI56" s="57"/>
      <c r="AJ56" s="57"/>
    </row>
    <row r="57" spans="28:36" x14ac:dyDescent="0.2">
      <c r="AB57" s="57"/>
      <c r="AD57" s="57"/>
      <c r="AF57" s="57"/>
      <c r="AG57" s="57"/>
      <c r="AH57" s="57"/>
      <c r="AI57" s="57"/>
      <c r="AJ57" s="57"/>
    </row>
    <row r="58" spans="28:36" x14ac:dyDescent="0.2">
      <c r="AB58" s="57"/>
      <c r="AD58" s="57"/>
      <c r="AF58" s="57"/>
      <c r="AG58" s="57"/>
      <c r="AH58" s="57"/>
      <c r="AI58" s="57"/>
      <c r="AJ58" s="57"/>
    </row>
    <row r="59" spans="28:36" x14ac:dyDescent="0.2">
      <c r="AB59" s="57"/>
      <c r="AD59" s="57"/>
      <c r="AF59" s="57"/>
      <c r="AG59" s="57"/>
      <c r="AH59" s="57"/>
      <c r="AI59" s="57"/>
      <c r="AJ59" s="57"/>
    </row>
    <row r="60" spans="28:36" x14ac:dyDescent="0.2">
      <c r="AB60" s="57"/>
      <c r="AD60" s="57"/>
      <c r="AF60" s="57"/>
      <c r="AG60" s="57"/>
      <c r="AH60" s="57"/>
      <c r="AI60" s="57"/>
      <c r="AJ60" s="57"/>
    </row>
    <row r="61" spans="28:36" x14ac:dyDescent="0.2">
      <c r="AB61" s="57"/>
      <c r="AD61" s="57"/>
      <c r="AF61" s="57"/>
      <c r="AG61" s="57"/>
      <c r="AH61" s="57"/>
      <c r="AI61" s="57"/>
      <c r="AJ61" s="57"/>
    </row>
    <row r="62" spans="28:36" x14ac:dyDescent="0.2">
      <c r="AB62" s="57"/>
      <c r="AD62" s="57"/>
      <c r="AF62" s="57"/>
      <c r="AG62" s="57"/>
      <c r="AH62" s="57"/>
      <c r="AI62" s="57"/>
      <c r="AJ62" s="57"/>
    </row>
    <row r="63" spans="28:36" x14ac:dyDescent="0.2">
      <c r="AB63" s="57"/>
      <c r="AD63" s="57"/>
      <c r="AF63" s="57"/>
      <c r="AG63" s="57"/>
      <c r="AH63" s="57"/>
      <c r="AI63" s="57"/>
      <c r="AJ63" s="57"/>
    </row>
    <row r="64" spans="28:36" x14ac:dyDescent="0.2">
      <c r="AB64" s="57"/>
      <c r="AD64" s="57"/>
      <c r="AF64" s="57"/>
      <c r="AG64" s="57"/>
      <c r="AH64" s="57"/>
      <c r="AI64" s="57"/>
      <c r="AJ64" s="57"/>
    </row>
    <row r="65" spans="28:36" x14ac:dyDescent="0.2">
      <c r="AB65" s="57"/>
      <c r="AD65" s="57"/>
      <c r="AF65" s="57"/>
      <c r="AG65" s="57"/>
      <c r="AH65" s="57"/>
      <c r="AI65" s="57"/>
      <c r="AJ65" s="57"/>
    </row>
    <row r="66" spans="28:36" x14ac:dyDescent="0.2">
      <c r="AB66" s="57"/>
      <c r="AD66" s="57"/>
      <c r="AF66" s="57"/>
      <c r="AG66" s="57"/>
      <c r="AH66" s="57"/>
      <c r="AI66" s="57"/>
      <c r="AJ66" s="57"/>
    </row>
    <row r="67" spans="28:36" x14ac:dyDescent="0.2">
      <c r="AB67" s="57"/>
      <c r="AD67" s="57"/>
      <c r="AF67" s="57"/>
      <c r="AG67" s="57"/>
      <c r="AH67" s="57"/>
      <c r="AI67" s="57"/>
      <c r="AJ67" s="57"/>
    </row>
    <row r="68" spans="28:36" x14ac:dyDescent="0.2">
      <c r="AB68" s="57"/>
      <c r="AD68" s="57"/>
      <c r="AF68" s="57"/>
      <c r="AG68" s="57"/>
      <c r="AH68" s="57"/>
      <c r="AI68" s="57"/>
      <c r="AJ68" s="57"/>
    </row>
    <row r="69" spans="28:36" x14ac:dyDescent="0.2">
      <c r="AB69" s="57"/>
      <c r="AD69" s="57"/>
      <c r="AF69" s="57"/>
      <c r="AG69" s="57"/>
      <c r="AH69" s="57"/>
      <c r="AI69" s="57"/>
      <c r="AJ69" s="57"/>
    </row>
    <row r="70" spans="28:36" x14ac:dyDescent="0.2">
      <c r="AB70" s="57"/>
      <c r="AD70" s="57"/>
      <c r="AF70" s="57"/>
      <c r="AG70" s="57"/>
      <c r="AH70" s="57"/>
      <c r="AI70" s="57"/>
      <c r="AJ70" s="57"/>
    </row>
    <row r="71" spans="28:36" x14ac:dyDescent="0.2">
      <c r="AB71" s="57"/>
      <c r="AD71" s="57"/>
      <c r="AF71" s="57"/>
      <c r="AG71" s="57"/>
      <c r="AH71" s="57"/>
      <c r="AI71" s="57"/>
      <c r="AJ71" s="57"/>
    </row>
    <row r="72" spans="28:36" x14ac:dyDescent="0.2">
      <c r="AB72" s="57"/>
      <c r="AD72" s="57"/>
      <c r="AF72" s="57"/>
      <c r="AG72" s="57"/>
      <c r="AH72" s="57"/>
      <c r="AI72" s="57"/>
      <c r="AJ72" s="57"/>
    </row>
    <row r="73" spans="28:36" x14ac:dyDescent="0.2">
      <c r="AB73" s="57"/>
      <c r="AD73" s="57"/>
      <c r="AF73" s="57"/>
      <c r="AG73" s="57"/>
      <c r="AH73" s="57"/>
      <c r="AI73" s="57"/>
      <c r="AJ73" s="57"/>
    </row>
    <row r="74" spans="28:36" x14ac:dyDescent="0.2">
      <c r="AB74" s="57"/>
      <c r="AD74" s="57"/>
      <c r="AF74" s="57"/>
      <c r="AG74" s="57"/>
      <c r="AH74" s="57"/>
      <c r="AI74" s="57"/>
      <c r="AJ74" s="57"/>
    </row>
    <row r="75" spans="28:36" x14ac:dyDescent="0.2">
      <c r="AB75" s="57"/>
      <c r="AD75" s="57"/>
      <c r="AF75" s="57"/>
      <c r="AG75" s="57"/>
      <c r="AH75" s="57"/>
      <c r="AI75" s="57"/>
      <c r="AJ75" s="57"/>
    </row>
    <row r="76" spans="28:36" x14ac:dyDescent="0.2">
      <c r="AB76" s="57"/>
      <c r="AD76" s="57"/>
      <c r="AF76" s="57"/>
      <c r="AG76" s="57"/>
      <c r="AH76" s="57"/>
      <c r="AI76" s="57"/>
      <c r="AJ76" s="57"/>
    </row>
    <row r="77" spans="28:36" x14ac:dyDescent="0.2">
      <c r="AB77" s="57"/>
      <c r="AD77" s="57"/>
      <c r="AF77" s="57"/>
      <c r="AG77" s="57"/>
      <c r="AH77" s="57"/>
      <c r="AI77" s="57"/>
      <c r="AJ77" s="57"/>
    </row>
    <row r="78" spans="28:36" x14ac:dyDescent="0.2">
      <c r="AB78" s="57"/>
      <c r="AD78" s="57"/>
      <c r="AF78" s="57"/>
      <c r="AG78" s="57"/>
      <c r="AH78" s="57"/>
      <c r="AI78" s="57"/>
      <c r="AJ78" s="57"/>
    </row>
    <row r="79" spans="28:36" x14ac:dyDescent="0.2">
      <c r="AB79" s="57"/>
      <c r="AD79" s="57"/>
      <c r="AF79" s="57"/>
      <c r="AG79" s="57"/>
      <c r="AH79" s="57"/>
      <c r="AI79" s="57"/>
      <c r="AJ79" s="57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9990-4424-4330-98C2-3B7F0FD9F9EC}">
  <sheetPr>
    <tabColor rgb="FF92D050"/>
  </sheetPr>
  <dimension ref="A1:AJ7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796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1328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5" t="s">
        <v>790</v>
      </c>
      <c r="B6" s="56" t="s">
        <v>613</v>
      </c>
      <c r="C6" s="77">
        <v>652.27</v>
      </c>
      <c r="E6" s="77">
        <v>0</v>
      </c>
      <c r="G6" s="77">
        <v>0</v>
      </c>
      <c r="I6" s="77">
        <v>0</v>
      </c>
      <c r="K6" s="77">
        <v>0</v>
      </c>
      <c r="M6" s="77">
        <v>0</v>
      </c>
      <c r="O6" s="77">
        <f>PRODUCT(M6,0/12)</f>
        <v>0</v>
      </c>
      <c r="Q6" s="77">
        <f>SUM(M6,O6)</f>
        <v>0</v>
      </c>
      <c r="S6" s="77">
        <v>0</v>
      </c>
      <c r="U6" s="77">
        <v>0</v>
      </c>
      <c r="W6" s="77">
        <v>0</v>
      </c>
      <c r="Y6" s="77">
        <f>SUM(W6,-I6)</f>
        <v>0</v>
      </c>
      <c r="Z6" s="57"/>
      <c r="AA6" s="58" t="str">
        <f>IF(W6=0,"N/A",PRODUCT(Y6,1/I6))</f>
        <v>N/A</v>
      </c>
      <c r="AB6" s="57"/>
      <c r="AC6" s="77">
        <f>SUM(W6,-Q6)</f>
        <v>0</v>
      </c>
      <c r="AD6" s="57"/>
      <c r="AE6" s="58" t="str">
        <f>IF(W6=0,"N/A",PRODUCT(AC6,1/Q6))</f>
        <v>N/A</v>
      </c>
      <c r="AF6" s="57"/>
      <c r="AG6" s="57"/>
      <c r="AH6" s="57"/>
      <c r="AI6" s="57"/>
      <c r="AJ6" s="57"/>
    </row>
    <row r="7" spans="1:36" ht="12.75" customHeight="1" x14ac:dyDescent="0.2">
      <c r="A7" s="59" t="s">
        <v>791</v>
      </c>
      <c r="B7" s="60" t="s">
        <v>761</v>
      </c>
      <c r="C7" s="79">
        <v>285559.15999999997</v>
      </c>
      <c r="D7" s="80"/>
      <c r="E7" s="79">
        <v>293255.14</v>
      </c>
      <c r="F7" s="80"/>
      <c r="G7" s="79">
        <v>332248.61</v>
      </c>
      <c r="H7" s="79"/>
      <c r="I7" s="79">
        <v>0</v>
      </c>
      <c r="J7" s="79"/>
      <c r="K7" s="79">
        <v>0</v>
      </c>
      <c r="L7" s="79"/>
      <c r="M7" s="79">
        <v>503839.13</v>
      </c>
      <c r="N7" s="79"/>
      <c r="O7" s="79">
        <f>PRODUCT(M7,0/12)</f>
        <v>0</v>
      </c>
      <c r="P7" s="79"/>
      <c r="Q7" s="79">
        <f>SUM(M7,O7)</f>
        <v>503839.13</v>
      </c>
      <c r="R7" s="79"/>
      <c r="S7" s="79">
        <v>300000</v>
      </c>
      <c r="T7" s="79"/>
      <c r="U7" s="79">
        <v>300000</v>
      </c>
      <c r="V7" s="79"/>
      <c r="W7" s="79">
        <v>328000</v>
      </c>
      <c r="X7" s="79"/>
      <c r="Y7" s="79">
        <f>SUM(W7,-I7)</f>
        <v>328000</v>
      </c>
      <c r="Z7" s="62"/>
      <c r="AA7" s="63" t="e">
        <f>IF(W7=0,"N/A",PRODUCT(Y7,1/I7))</f>
        <v>#DIV/0!</v>
      </c>
      <c r="AB7" s="62"/>
      <c r="AC7" s="79">
        <f>SUM(W7,-Q7)</f>
        <v>-175839.13</v>
      </c>
      <c r="AD7" s="62"/>
      <c r="AE7" s="63">
        <f>IF(W7=0,"N/A",PRODUCT(AC7,1/Q7))</f>
        <v>-0.34899855832952081</v>
      </c>
      <c r="AF7" s="57"/>
      <c r="AG7" s="57"/>
      <c r="AH7" s="57"/>
      <c r="AI7" s="57"/>
      <c r="AJ7" s="57"/>
    </row>
    <row r="8" spans="1:36" ht="12.75" customHeight="1" x14ac:dyDescent="0.2">
      <c r="A8" s="64" t="s">
        <v>1329</v>
      </c>
      <c r="C8" s="81">
        <f>SUM(C6:C7)</f>
        <v>286211.43</v>
      </c>
      <c r="E8" s="81">
        <f>SUM(E6:E7)</f>
        <v>293255.14</v>
      </c>
      <c r="G8" s="81">
        <f>SUM(G6:G7)</f>
        <v>332248.61</v>
      </c>
      <c r="I8" s="81">
        <f>SUM(I6:I7)</f>
        <v>0</v>
      </c>
      <c r="K8" s="81">
        <f>SUM(K6:K7)</f>
        <v>0</v>
      </c>
      <c r="M8" s="81">
        <f>SUM(M6:M7)</f>
        <v>503839.13</v>
      </c>
      <c r="O8" s="81">
        <f>SUM(O6:O7)</f>
        <v>0</v>
      </c>
      <c r="Q8" s="81">
        <f>SUM(Q6:Q7)</f>
        <v>503839.13</v>
      </c>
      <c r="S8" s="81">
        <f>SUM(S6:S7)</f>
        <v>300000</v>
      </c>
      <c r="U8" s="81">
        <f>SUM(U6:U7)</f>
        <v>300000</v>
      </c>
      <c r="W8" s="81">
        <f>SUM(W6:W7)</f>
        <v>328000</v>
      </c>
      <c r="Y8" s="81">
        <f>SUM(Y6:Y7)</f>
        <v>328000</v>
      </c>
      <c r="Z8" s="57"/>
      <c r="AA8" s="65" t="e">
        <f>IF(W8=0,"N/A",PRODUCT(Y8,1/I8))</f>
        <v>#DIV/0!</v>
      </c>
      <c r="AB8" s="57"/>
      <c r="AC8" s="81">
        <f>SUM(AC6:AC7)</f>
        <v>-175839.13</v>
      </c>
      <c r="AD8" s="57"/>
      <c r="AE8" s="65">
        <f>IF(W8=0,"N/A",PRODUCT(AC8,1/Q8))</f>
        <v>-0.34899855832952081</v>
      </c>
      <c r="AF8" s="57"/>
      <c r="AG8" s="57"/>
      <c r="AH8" s="57"/>
      <c r="AI8" s="57"/>
      <c r="AJ8" s="57"/>
    </row>
    <row r="9" spans="1:36" ht="12.75" customHeight="1" x14ac:dyDescent="0.2">
      <c r="Z9" s="57"/>
      <c r="AB9" s="57"/>
      <c r="AD9" s="57"/>
      <c r="AF9" s="57"/>
      <c r="AG9" s="57"/>
      <c r="AH9" s="57"/>
      <c r="AI9" s="57"/>
      <c r="AJ9" s="57"/>
    </row>
    <row r="10" spans="1:36" ht="12.75" customHeight="1" x14ac:dyDescent="0.2">
      <c r="A10" s="54" t="s">
        <v>1344</v>
      </c>
      <c r="Z10" s="57"/>
      <c r="AB10" s="57"/>
      <c r="AD10" s="57"/>
      <c r="AF10" s="57"/>
      <c r="AG10" s="57"/>
      <c r="AH10" s="57"/>
      <c r="AI10" s="57"/>
      <c r="AJ10" s="57"/>
    </row>
    <row r="11" spans="1:36" ht="12.75" customHeight="1" x14ac:dyDescent="0.2">
      <c r="A11" s="59" t="s">
        <v>795</v>
      </c>
      <c r="B11" s="60" t="s">
        <v>613</v>
      </c>
      <c r="C11" s="79">
        <v>0</v>
      </c>
      <c r="D11" s="80"/>
      <c r="E11" s="79">
        <v>34.9</v>
      </c>
      <c r="F11" s="80"/>
      <c r="G11" s="79">
        <v>2428.63</v>
      </c>
      <c r="H11" s="79"/>
      <c r="I11" s="79">
        <v>0</v>
      </c>
      <c r="J11" s="79"/>
      <c r="K11" s="79">
        <v>0</v>
      </c>
      <c r="L11" s="79"/>
      <c r="M11" s="79">
        <v>8651.32</v>
      </c>
      <c r="N11" s="79"/>
      <c r="O11" s="79">
        <f>PRODUCT(M11,0/12)</f>
        <v>0</v>
      </c>
      <c r="P11" s="79"/>
      <c r="Q11" s="79">
        <f>SUM(M11,O11)</f>
        <v>8651.32</v>
      </c>
      <c r="R11" s="79"/>
      <c r="S11" s="79">
        <v>3000</v>
      </c>
      <c r="T11" s="79"/>
      <c r="U11" s="79">
        <v>3000</v>
      </c>
      <c r="V11" s="79"/>
      <c r="W11" s="79">
        <v>3000</v>
      </c>
      <c r="X11" s="79"/>
      <c r="Y11" s="79">
        <f>SUM(W11,-I11)</f>
        <v>3000</v>
      </c>
      <c r="Z11" s="62"/>
      <c r="AA11" s="63" t="e">
        <f>IF(W11=0,"N/A",PRODUCT(Y11,1/I11))</f>
        <v>#DIV/0!</v>
      </c>
      <c r="AB11" s="62"/>
      <c r="AC11" s="79">
        <f>SUM(W11,-Q11)</f>
        <v>-5651.32</v>
      </c>
      <c r="AD11" s="62"/>
      <c r="AE11" s="63">
        <f>IF(W11=0,"N/A",PRODUCT(AC11,1/Q11))</f>
        <v>-0.65323210793266229</v>
      </c>
      <c r="AF11" s="57"/>
      <c r="AG11" s="57"/>
      <c r="AH11" s="57"/>
      <c r="AI11" s="57"/>
      <c r="AJ11" s="57"/>
    </row>
    <row r="12" spans="1:36" ht="12.75" customHeight="1" x14ac:dyDescent="0.2">
      <c r="A12" s="64" t="s">
        <v>1345</v>
      </c>
      <c r="C12" s="81">
        <f>SUM(C11:C11)</f>
        <v>0</v>
      </c>
      <c r="E12" s="81">
        <f>SUM(E11:E11)</f>
        <v>34.9</v>
      </c>
      <c r="G12" s="81">
        <f>SUM(G11:G11)</f>
        <v>2428.63</v>
      </c>
      <c r="I12" s="81">
        <f>SUM(I11:I11)</f>
        <v>0</v>
      </c>
      <c r="K12" s="81">
        <f>SUM(K11:K11)</f>
        <v>0</v>
      </c>
      <c r="M12" s="81">
        <f>SUM(M11:M11)</f>
        <v>8651.32</v>
      </c>
      <c r="O12" s="81">
        <f>SUM(O11:O11)</f>
        <v>0</v>
      </c>
      <c r="Q12" s="81">
        <f>SUM(Q11:Q11)</f>
        <v>8651.32</v>
      </c>
      <c r="S12" s="81">
        <f>SUM(S11:S11)</f>
        <v>3000</v>
      </c>
      <c r="U12" s="81">
        <f>SUM(U11:U11)</f>
        <v>3000</v>
      </c>
      <c r="W12" s="81">
        <f>SUM(W11:W11)</f>
        <v>3000</v>
      </c>
      <c r="Y12" s="81">
        <f>SUM(Y11:Y11)</f>
        <v>3000</v>
      </c>
      <c r="Z12" s="57"/>
      <c r="AA12" s="65" t="e">
        <f>IF(W12=0,"N/A",PRODUCT(Y12,1/I12))</f>
        <v>#DIV/0!</v>
      </c>
      <c r="AB12" s="57"/>
      <c r="AC12" s="81">
        <f>SUM(AC11:AC11)</f>
        <v>-5651.32</v>
      </c>
      <c r="AD12" s="57"/>
      <c r="AE12" s="65">
        <f>IF(W12=0,"N/A",PRODUCT(AC12,1/Q12))</f>
        <v>-0.65323210793266229</v>
      </c>
      <c r="AF12" s="57"/>
      <c r="AG12" s="57"/>
      <c r="AH12" s="57"/>
      <c r="AI12" s="57"/>
      <c r="AJ12" s="57"/>
    </row>
    <row r="13" spans="1:36" ht="12.75" customHeight="1" x14ac:dyDescent="0.2">
      <c r="Z13" s="57"/>
      <c r="AB13" s="57"/>
      <c r="AD13" s="57"/>
      <c r="AF13" s="57"/>
      <c r="AG13" s="57"/>
      <c r="AH13" s="57"/>
      <c r="AI13" s="57"/>
      <c r="AJ13" s="57"/>
    </row>
    <row r="14" spans="1:36" ht="12.75" customHeight="1" thickBot="1" x14ac:dyDescent="0.25">
      <c r="A14" s="67" t="s">
        <v>797</v>
      </c>
      <c r="C14" s="83">
        <f>SUM(C8,C12)</f>
        <v>286211.43</v>
      </c>
      <c r="E14" s="83">
        <f>SUM(E8,E12)</f>
        <v>293290.04000000004</v>
      </c>
      <c r="G14" s="83">
        <f>SUM(G8,G12)</f>
        <v>334677.24</v>
      </c>
      <c r="I14" s="83">
        <f>SUM(I8,I12)</f>
        <v>0</v>
      </c>
      <c r="K14" s="83">
        <f>SUM(K8,K12)</f>
        <v>0</v>
      </c>
      <c r="M14" s="82">
        <f>SUM(M8,M12)</f>
        <v>512490.45</v>
      </c>
      <c r="O14" s="82">
        <f>SUM(O8,O12)</f>
        <v>0</v>
      </c>
      <c r="Q14" s="83">
        <f>SUM(Q8,Q12)</f>
        <v>512490.45</v>
      </c>
      <c r="S14" s="82">
        <f>SUM(S8,S12)</f>
        <v>303000</v>
      </c>
      <c r="U14" s="82">
        <f>SUM(U8,U12)</f>
        <v>303000</v>
      </c>
      <c r="W14" s="83">
        <f>SUM(W8,W12)</f>
        <v>331000</v>
      </c>
      <c r="Y14" s="82">
        <f>SUM(Y8,Y12)</f>
        <v>331000</v>
      </c>
      <c r="Z14" s="57"/>
      <c r="AA14" s="125" t="e">
        <f>IF(W14=0,"N/A",PRODUCT(Y14,1/I14))</f>
        <v>#DIV/0!</v>
      </c>
      <c r="AB14" s="57"/>
      <c r="AC14" s="82">
        <f>SUM(AC8,AC12)</f>
        <v>-181490.45</v>
      </c>
      <c r="AD14" s="57"/>
      <c r="AE14" s="125">
        <f>IF(W14=0,"N/A",PRODUCT(AC14,1/Q14))</f>
        <v>-0.35413430630756149</v>
      </c>
      <c r="AF14" s="57"/>
      <c r="AG14" s="57"/>
      <c r="AH14" s="57"/>
      <c r="AI14" s="57"/>
      <c r="AJ14" s="57"/>
    </row>
    <row r="15" spans="1:36" ht="12.75" customHeight="1" thickTop="1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Z16" s="57"/>
      <c r="AB16" s="57"/>
      <c r="AD16" s="57"/>
      <c r="AF16" s="57"/>
      <c r="AG16" s="57"/>
      <c r="AH16" s="57"/>
      <c r="AI16" s="57"/>
      <c r="AJ16" s="57"/>
    </row>
    <row r="17" spans="1:36" ht="12.75" customHeight="1" x14ac:dyDescent="0.2">
      <c r="Z17" s="57"/>
      <c r="AB17" s="57"/>
      <c r="AD17" s="57"/>
      <c r="AF17" s="57"/>
      <c r="AG17" s="57"/>
      <c r="AH17" s="57"/>
      <c r="AI17" s="57"/>
      <c r="AJ17" s="57"/>
    </row>
    <row r="18" spans="1:36" ht="12.75" customHeight="1" x14ac:dyDescent="0.2">
      <c r="A18" s="67" t="s">
        <v>798</v>
      </c>
      <c r="Z18" s="57"/>
      <c r="AB18" s="57"/>
      <c r="AD18" s="57"/>
      <c r="AF18" s="57"/>
      <c r="AG18" s="57"/>
      <c r="AH18" s="57"/>
      <c r="AI18" s="57"/>
      <c r="AJ18" s="57"/>
    </row>
    <row r="19" spans="1:36" ht="12.75" customHeight="1" x14ac:dyDescent="0.2">
      <c r="A19" s="54" t="s">
        <v>69</v>
      </c>
      <c r="Z19" s="57"/>
      <c r="AB19" s="57"/>
      <c r="AD19" s="57"/>
      <c r="AF19" s="57"/>
      <c r="AG19" s="57"/>
      <c r="AH19" s="57"/>
      <c r="AI19" s="57"/>
      <c r="AJ19" s="57"/>
    </row>
    <row r="20" spans="1:36" ht="12.75" customHeight="1" x14ac:dyDescent="0.2">
      <c r="A20" s="55" t="s">
        <v>792</v>
      </c>
      <c r="B20" s="56" t="s">
        <v>766</v>
      </c>
      <c r="C20" s="77">
        <v>181045.58</v>
      </c>
      <c r="E20" s="77">
        <v>146712.42000000001</v>
      </c>
      <c r="G20" s="77">
        <v>158544.98000000001</v>
      </c>
      <c r="I20" s="77">
        <v>0</v>
      </c>
      <c r="K20" s="77">
        <v>0</v>
      </c>
      <c r="M20" s="77">
        <v>503839.13</v>
      </c>
      <c r="O20" s="77">
        <f>PRODUCT(M20,0/12)</f>
        <v>0</v>
      </c>
      <c r="Q20" s="77">
        <f>SUM(M20,O20)</f>
        <v>503839.13</v>
      </c>
      <c r="S20" s="77">
        <v>0</v>
      </c>
      <c r="U20" s="77">
        <v>0</v>
      </c>
      <c r="W20" s="77">
        <v>0</v>
      </c>
      <c r="Y20" s="77">
        <f>SUM(W20,-I20)</f>
        <v>0</v>
      </c>
      <c r="Z20" s="57"/>
      <c r="AA20" s="58" t="str">
        <f>IF(W20=0,"N/A",PRODUCT(Y20,1/I20))</f>
        <v>N/A</v>
      </c>
      <c r="AB20" s="57"/>
      <c r="AC20" s="77">
        <f>SUM(W20,-Q20)</f>
        <v>-503839.13</v>
      </c>
      <c r="AD20" s="57"/>
      <c r="AE20" s="58" t="str">
        <f>IF(W20=0,"N/A",PRODUCT(AC20,1/Q20))</f>
        <v>N/A</v>
      </c>
      <c r="AF20" s="57"/>
      <c r="AG20" s="57"/>
      <c r="AH20" s="57"/>
      <c r="AI20" s="57"/>
      <c r="AJ20" s="57"/>
    </row>
    <row r="21" spans="1:36" ht="12.75" customHeight="1" x14ac:dyDescent="0.2">
      <c r="A21" s="59" t="s">
        <v>793</v>
      </c>
      <c r="B21" s="60" t="s">
        <v>794</v>
      </c>
      <c r="C21" s="79">
        <v>16800</v>
      </c>
      <c r="D21" s="80"/>
      <c r="E21" s="79">
        <v>0</v>
      </c>
      <c r="F21" s="80"/>
      <c r="G21" s="79">
        <v>0</v>
      </c>
      <c r="H21" s="79"/>
      <c r="I21" s="79">
        <v>0</v>
      </c>
      <c r="J21" s="79"/>
      <c r="K21" s="79">
        <v>0</v>
      </c>
      <c r="L21" s="79"/>
      <c r="M21" s="79">
        <v>0</v>
      </c>
      <c r="N21" s="79"/>
      <c r="O21" s="79">
        <f>PRODUCT(M21,0/12)</f>
        <v>0</v>
      </c>
      <c r="P21" s="79"/>
      <c r="Q21" s="79">
        <f>SUM(M21,O21)</f>
        <v>0</v>
      </c>
      <c r="R21" s="79"/>
      <c r="S21" s="79">
        <v>0</v>
      </c>
      <c r="T21" s="79"/>
      <c r="U21" s="79">
        <v>0</v>
      </c>
      <c r="V21" s="79"/>
      <c r="W21" s="79">
        <v>0</v>
      </c>
      <c r="X21" s="79"/>
      <c r="Y21" s="79">
        <f>SUM(W21,-I21)</f>
        <v>0</v>
      </c>
      <c r="Z21" s="62"/>
      <c r="AA21" s="63" t="str">
        <f>IF(W21=0,"N/A",PRODUCT(Y21,1/I21))</f>
        <v>N/A</v>
      </c>
      <c r="AB21" s="62"/>
      <c r="AC21" s="79">
        <f>SUM(W21,-Q21)</f>
        <v>0</v>
      </c>
      <c r="AD21" s="62"/>
      <c r="AE21" s="63" t="str">
        <f>IF(W21=0,"N/A",PRODUCT(AC21,1/Q21))</f>
        <v>N/A</v>
      </c>
      <c r="AF21" s="57"/>
      <c r="AG21" s="57"/>
      <c r="AH21" s="57"/>
      <c r="AI21" s="57"/>
      <c r="AJ21" s="57"/>
    </row>
    <row r="22" spans="1:36" ht="12.75" customHeight="1" x14ac:dyDescent="0.2">
      <c r="A22" s="64" t="s">
        <v>70</v>
      </c>
      <c r="C22" s="81">
        <f>SUM(C20:C21)</f>
        <v>197845.58</v>
      </c>
      <c r="E22" s="81">
        <f>SUM(E20:E21)</f>
        <v>146712.42000000001</v>
      </c>
      <c r="G22" s="81">
        <f>SUM(G20:G21)</f>
        <v>158544.98000000001</v>
      </c>
      <c r="I22" s="81">
        <f>SUM(I20:I21)</f>
        <v>0</v>
      </c>
      <c r="K22" s="81">
        <f>SUM(K20:K21)</f>
        <v>0</v>
      </c>
      <c r="M22" s="81">
        <f>SUM(M20:M21)</f>
        <v>503839.13</v>
      </c>
      <c r="O22" s="81">
        <f>SUM(O20:O21)</f>
        <v>0</v>
      </c>
      <c r="Q22" s="81">
        <f>SUM(Q20:Q21)</f>
        <v>503839.13</v>
      </c>
      <c r="S22" s="81">
        <f>SUM(S20:S21)</f>
        <v>0</v>
      </c>
      <c r="U22" s="81">
        <f>SUM(U20:U21)</f>
        <v>0</v>
      </c>
      <c r="W22" s="81">
        <f>SUM(W20:W21)</f>
        <v>0</v>
      </c>
      <c r="Y22" s="81">
        <f>SUM(Y20:Y21)</f>
        <v>0</v>
      </c>
      <c r="Z22" s="57"/>
      <c r="AA22" s="65" t="str">
        <f>IF(W22=0,"N/A",PRODUCT(Y22,1/I22))</f>
        <v>N/A</v>
      </c>
      <c r="AB22" s="57"/>
      <c r="AC22" s="81">
        <f>SUM(AC20:AC21)</f>
        <v>-503839.13</v>
      </c>
      <c r="AD22" s="57"/>
      <c r="AE22" s="65" t="str">
        <f>IF(W22=0,"N/A",PRODUCT(AC22,1/Q22))</f>
        <v>N/A</v>
      </c>
      <c r="AF22" s="57"/>
      <c r="AG22" s="57"/>
      <c r="AH22" s="57"/>
      <c r="AI22" s="57"/>
      <c r="AJ22" s="57"/>
    </row>
    <row r="23" spans="1:36" ht="12.75" customHeight="1" x14ac:dyDescent="0.2">
      <c r="Z23" s="57"/>
      <c r="AB23" s="57"/>
      <c r="AD23" s="57"/>
      <c r="AF23" s="57"/>
      <c r="AG23" s="57"/>
      <c r="AH23" s="57"/>
      <c r="AI23" s="57"/>
      <c r="AJ23" s="57"/>
    </row>
    <row r="24" spans="1:36" ht="12.75" customHeight="1" x14ac:dyDescent="0.2">
      <c r="A24" s="54" t="s">
        <v>1366</v>
      </c>
      <c r="Z24" s="57"/>
      <c r="AB24" s="57"/>
      <c r="AD24" s="57"/>
      <c r="AF24" s="57"/>
      <c r="AG24" s="57"/>
      <c r="AH24" s="57"/>
      <c r="AI24" s="57"/>
      <c r="AJ24" s="57"/>
    </row>
    <row r="25" spans="1:36" ht="12.75" customHeight="1" x14ac:dyDescent="0.2">
      <c r="A25" s="55" t="s">
        <v>1368</v>
      </c>
      <c r="B25" s="56" t="s">
        <v>1143</v>
      </c>
      <c r="C25" s="77">
        <v>0</v>
      </c>
      <c r="E25" s="77">
        <v>0</v>
      </c>
      <c r="G25" s="77">
        <v>0</v>
      </c>
      <c r="I25" s="77">
        <v>0</v>
      </c>
      <c r="K25" s="77">
        <v>0</v>
      </c>
      <c r="M25" s="77">
        <v>0</v>
      </c>
      <c r="O25" s="77">
        <f>PRODUCT(M25,0/12)</f>
        <v>0</v>
      </c>
      <c r="Q25" s="77">
        <f>SUM(M25,O25)</f>
        <v>0</v>
      </c>
      <c r="S25" s="77">
        <v>303000</v>
      </c>
      <c r="U25" s="77">
        <v>303000</v>
      </c>
      <c r="W25" s="77">
        <v>328000</v>
      </c>
      <c r="Y25" s="77">
        <f>SUM(W25,-I25)</f>
        <v>328000</v>
      </c>
      <c r="Z25" s="57"/>
      <c r="AA25" s="58" t="e">
        <f>IF(W25=0,"N/A",PRODUCT(Y25,1/I25))</f>
        <v>#DIV/0!</v>
      </c>
      <c r="AB25" s="57"/>
      <c r="AC25" s="77">
        <f>SUM(W25,-Q25)</f>
        <v>328000</v>
      </c>
      <c r="AD25" s="57"/>
      <c r="AE25" s="58" t="e">
        <f>IF(W25=0,"N/A",PRODUCT(AC25,1/Q25))</f>
        <v>#DIV/0!</v>
      </c>
      <c r="AF25" s="57"/>
      <c r="AG25" s="57"/>
      <c r="AH25" s="57"/>
      <c r="AI25" s="57"/>
      <c r="AJ25" s="57"/>
    </row>
    <row r="26" spans="1:36" ht="12.75" customHeight="1" x14ac:dyDescent="0.2">
      <c r="A26" s="59" t="s">
        <v>1428</v>
      </c>
      <c r="B26" s="60" t="s">
        <v>1154</v>
      </c>
      <c r="C26" s="79">
        <v>0</v>
      </c>
      <c r="D26" s="80"/>
      <c r="E26" s="79">
        <v>0</v>
      </c>
      <c r="F26" s="80"/>
      <c r="G26" s="79">
        <v>0</v>
      </c>
      <c r="H26" s="79"/>
      <c r="I26" s="79">
        <v>0</v>
      </c>
      <c r="J26" s="79"/>
      <c r="K26" s="79">
        <v>0</v>
      </c>
      <c r="L26" s="79"/>
      <c r="M26" s="79">
        <v>0</v>
      </c>
      <c r="N26" s="79"/>
      <c r="O26" s="79">
        <f>PRODUCT(M26,0/12)</f>
        <v>0</v>
      </c>
      <c r="P26" s="79"/>
      <c r="Q26" s="79">
        <f>SUM(M26,O26)</f>
        <v>0</v>
      </c>
      <c r="R26" s="79"/>
      <c r="S26" s="79">
        <v>0</v>
      </c>
      <c r="T26" s="79"/>
      <c r="U26" s="79">
        <v>0</v>
      </c>
      <c r="V26" s="79"/>
      <c r="W26" s="79">
        <v>3000</v>
      </c>
      <c r="X26" s="79"/>
      <c r="Y26" s="79">
        <f>SUM(W26,-I26)</f>
        <v>3000</v>
      </c>
      <c r="Z26" s="62"/>
      <c r="AA26" s="63" t="e">
        <f>IF(W26=0,"N/A",PRODUCT(Y26,1/I26))</f>
        <v>#DIV/0!</v>
      </c>
      <c r="AB26" s="62"/>
      <c r="AC26" s="79">
        <f>SUM(W26,-Q26)</f>
        <v>3000</v>
      </c>
      <c r="AD26" s="62"/>
      <c r="AE26" s="63" t="e">
        <f>IF(W26=0,"N/A",PRODUCT(AC26,1/Q26))</f>
        <v>#DIV/0!</v>
      </c>
      <c r="AF26" s="57"/>
      <c r="AG26" s="57"/>
      <c r="AH26" s="57"/>
      <c r="AI26" s="57"/>
      <c r="AJ26" s="57"/>
    </row>
    <row r="27" spans="1:36" ht="12.75" customHeight="1" x14ac:dyDescent="0.2">
      <c r="A27" s="64" t="s">
        <v>1367</v>
      </c>
      <c r="C27" s="81">
        <f>SUM(C25:C26)</f>
        <v>0</v>
      </c>
      <c r="E27" s="81">
        <f>SUM(E25:E26)</f>
        <v>0</v>
      </c>
      <c r="G27" s="81">
        <f>SUM(G25:G26)</f>
        <v>0</v>
      </c>
      <c r="I27" s="81">
        <f>SUM(I25:I26)</f>
        <v>0</v>
      </c>
      <c r="K27" s="81">
        <f>SUM(K25:K26)</f>
        <v>0</v>
      </c>
      <c r="M27" s="81">
        <f>SUM(M25:M26)</f>
        <v>0</v>
      </c>
      <c r="O27" s="81">
        <f>SUM(O25:O26)</f>
        <v>0</v>
      </c>
      <c r="Q27" s="81">
        <f>SUM(Q25:Q26)</f>
        <v>0</v>
      </c>
      <c r="S27" s="81">
        <f>SUM(S25:S26)</f>
        <v>303000</v>
      </c>
      <c r="U27" s="81">
        <f>SUM(U25:U26)</f>
        <v>303000</v>
      </c>
      <c r="W27" s="81">
        <f>SUM(W25:W26)</f>
        <v>331000</v>
      </c>
      <c r="Y27" s="81">
        <f>SUM(Y25:Y26)</f>
        <v>331000</v>
      </c>
      <c r="Z27" s="57"/>
      <c r="AA27" s="65" t="e">
        <f>IF(W27=0,"N/A",PRODUCT(Y27,1/I27))</f>
        <v>#DIV/0!</v>
      </c>
      <c r="AB27" s="57"/>
      <c r="AC27" s="81">
        <f>SUM(AC25:AC26)</f>
        <v>331000</v>
      </c>
      <c r="AD27" s="57"/>
      <c r="AE27" s="65" t="e">
        <f>IF(W27=0,"N/A",PRODUCT(AC27,1/Q27))</f>
        <v>#DIV/0!</v>
      </c>
      <c r="AF27" s="57"/>
      <c r="AG27" s="57"/>
      <c r="AH27" s="57"/>
      <c r="AI27" s="57"/>
      <c r="AJ27" s="57"/>
    </row>
    <row r="28" spans="1:36" ht="12.75" customHeight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thickBot="1" x14ac:dyDescent="0.25">
      <c r="A29" s="67" t="s">
        <v>799</v>
      </c>
      <c r="C29" s="83">
        <f>SUM(C22,C27)</f>
        <v>197845.58</v>
      </c>
      <c r="E29" s="83">
        <f>SUM(E22,E27)</f>
        <v>146712.42000000001</v>
      </c>
      <c r="G29" s="83">
        <f>SUM(G22,G27)</f>
        <v>158544.98000000001</v>
      </c>
      <c r="I29" s="83">
        <f>SUM(I22,I27)</f>
        <v>0</v>
      </c>
      <c r="K29" s="83">
        <f>SUM(K22,K27)</f>
        <v>0</v>
      </c>
      <c r="M29" s="82">
        <f>SUM(M22,M27)</f>
        <v>503839.13</v>
      </c>
      <c r="O29" s="82">
        <f>SUM(O22,O27)</f>
        <v>0</v>
      </c>
      <c r="Q29" s="83">
        <f>SUM(Q22,Q27)</f>
        <v>503839.13</v>
      </c>
      <c r="S29" s="82">
        <f>SUM(S22,S27)</f>
        <v>303000</v>
      </c>
      <c r="U29" s="82">
        <f>SUM(U22,U27)</f>
        <v>303000</v>
      </c>
      <c r="W29" s="83">
        <f>SUM(W22,W27)</f>
        <v>331000</v>
      </c>
      <c r="Y29" s="82">
        <f>SUM(Y22,Y27)</f>
        <v>331000</v>
      </c>
      <c r="Z29" s="57"/>
      <c r="AA29" s="125" t="e">
        <f>IF(W29=0,"N/A",PRODUCT(Y29,1/I29))</f>
        <v>#DIV/0!</v>
      </c>
      <c r="AB29" s="57"/>
      <c r="AC29" s="82">
        <f>SUM(AC22,AC27)</f>
        <v>-172839.13</v>
      </c>
      <c r="AD29" s="57"/>
      <c r="AE29" s="125">
        <f>IF(W29=0,"N/A",PRODUCT(AC29,1/Q29))</f>
        <v>-0.34304427685082739</v>
      </c>
      <c r="AF29" s="57"/>
      <c r="AG29" s="57"/>
      <c r="AH29" s="57"/>
      <c r="AI29" s="57"/>
      <c r="AJ29" s="57"/>
    </row>
    <row r="30" spans="1:36" ht="12.75" customHeight="1" thickTop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x14ac:dyDescent="0.2">
      <c r="A33" s="67" t="s">
        <v>786</v>
      </c>
      <c r="C33" s="88">
        <f>SUM(C14,-C29)</f>
        <v>88365.85</v>
      </c>
      <c r="E33" s="88">
        <f>SUM(E14,-E29)</f>
        <v>146577.62000000002</v>
      </c>
      <c r="G33" s="88">
        <f>SUM(G14,-G29)</f>
        <v>176132.25999999998</v>
      </c>
      <c r="I33" s="88">
        <f>SUM(I14,-I29)</f>
        <v>0</v>
      </c>
      <c r="K33" s="88">
        <f>SUM(K14,-K29)</f>
        <v>0</v>
      </c>
      <c r="M33" s="88">
        <f>SUM(M14,-M29)</f>
        <v>8651.320000000007</v>
      </c>
      <c r="O33" s="88">
        <f>SUM(O14,-O29)</f>
        <v>0</v>
      </c>
      <c r="Q33" s="88">
        <f>SUM(Q14,-Q29)</f>
        <v>8651.320000000007</v>
      </c>
      <c r="S33" s="88">
        <f>SUM(S14,-S29)</f>
        <v>0</v>
      </c>
      <c r="U33" s="88">
        <f>SUM(U14,-U29)</f>
        <v>0</v>
      </c>
      <c r="W33" s="88">
        <f>SUM(W14,-W29)</f>
        <v>0</v>
      </c>
      <c r="Z33" s="57"/>
      <c r="AB33" s="57"/>
      <c r="AD33" s="57"/>
      <c r="AE33" s="65"/>
      <c r="AF33" s="57"/>
      <c r="AG33" s="57"/>
      <c r="AH33" s="57"/>
      <c r="AI33" s="57"/>
      <c r="AJ33" s="57"/>
    </row>
    <row r="34" spans="1:36" ht="12.75" customHeight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A35" s="70" t="s">
        <v>787</v>
      </c>
      <c r="C35" s="77">
        <v>-53146.12</v>
      </c>
      <c r="E35" s="77">
        <f>C39</f>
        <v>35219.730000000003</v>
      </c>
      <c r="G35" s="77">
        <f>E39</f>
        <v>181797.35000000003</v>
      </c>
      <c r="I35" s="77">
        <f>G39</f>
        <v>357929.61</v>
      </c>
      <c r="K35" s="77">
        <f>G39</f>
        <v>357929.61</v>
      </c>
      <c r="Q35" s="77">
        <f>G39</f>
        <v>357929.61</v>
      </c>
      <c r="W35" s="77">
        <f>Q39</f>
        <v>366580.93</v>
      </c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ht="12.75" customHeight="1" x14ac:dyDescent="0.2">
      <c r="A37" s="70" t="s">
        <v>788</v>
      </c>
      <c r="C37" s="77">
        <f>SUM(C26)</f>
        <v>0</v>
      </c>
      <c r="E37" s="77">
        <f>SUM(E26)</f>
        <v>0</v>
      </c>
      <c r="G37" s="77">
        <f>SUM(G26)</f>
        <v>0</v>
      </c>
      <c r="I37" s="77">
        <f>SUM(I26)</f>
        <v>0</v>
      </c>
      <c r="K37" s="77">
        <f>SUM(K26)</f>
        <v>0</v>
      </c>
      <c r="Q37" s="77">
        <f>SUM(Q26)</f>
        <v>0</v>
      </c>
      <c r="W37" s="77">
        <f>SUM(W26)</f>
        <v>3000</v>
      </c>
      <c r="Z37" s="57"/>
      <c r="AB37" s="57"/>
      <c r="AD37" s="57"/>
      <c r="AF37" s="57"/>
      <c r="AG37" s="57"/>
      <c r="AH37" s="57"/>
      <c r="AI37" s="57"/>
      <c r="AJ37" s="57"/>
    </row>
    <row r="38" spans="1:36" ht="12.75" customHeight="1" x14ac:dyDescent="0.2">
      <c r="Z38" s="57"/>
      <c r="AB38" s="57"/>
      <c r="AD38" s="57"/>
      <c r="AF38" s="57"/>
      <c r="AG38" s="57"/>
      <c r="AH38" s="57"/>
      <c r="AI38" s="57"/>
      <c r="AJ38" s="57"/>
    </row>
    <row r="39" spans="1:36" ht="12.75" customHeight="1" thickBot="1" x14ac:dyDescent="0.25">
      <c r="A39" s="67" t="s">
        <v>789</v>
      </c>
      <c r="C39" s="83">
        <f>SUM(C33,C35,C37)</f>
        <v>35219.730000000003</v>
      </c>
      <c r="E39" s="83">
        <f>SUM(E33,E35,E37)</f>
        <v>181797.35000000003</v>
      </c>
      <c r="G39" s="83">
        <f>SUM(G33,G35,G37)</f>
        <v>357929.61</v>
      </c>
      <c r="I39" s="83">
        <f>SUM(I33,I35,I37)</f>
        <v>357929.61</v>
      </c>
      <c r="K39" s="83">
        <f>SUM(K33,K35,K37)</f>
        <v>357929.61</v>
      </c>
      <c r="M39" s="88"/>
      <c r="O39" s="88"/>
      <c r="Q39" s="83">
        <f>SUM(Q33,Q35,Q37)</f>
        <v>366580.93</v>
      </c>
      <c r="S39" s="88"/>
      <c r="U39" s="88"/>
      <c r="W39" s="83">
        <f>SUM(W33,W35,W37)</f>
        <v>369580.93</v>
      </c>
      <c r="Z39" s="57"/>
      <c r="AB39" s="57"/>
      <c r="AD39" s="57"/>
      <c r="AE39" s="65"/>
      <c r="AF39" s="57"/>
      <c r="AG39" s="57"/>
      <c r="AH39" s="57"/>
      <c r="AI39" s="57"/>
      <c r="AJ39" s="57"/>
    </row>
    <row r="40" spans="1:36" ht="12.75" customHeight="1" thickTop="1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ht="12.75" customHeight="1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ht="12.75" customHeight="1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ht="12.75" customHeight="1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ht="12.75" customHeight="1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x14ac:dyDescent="0.2">
      <c r="Z72" s="57"/>
      <c r="AB72" s="57"/>
      <c r="AD72" s="57"/>
      <c r="AF72" s="57"/>
      <c r="AG72" s="57"/>
      <c r="AH72" s="57"/>
      <c r="AI72" s="57"/>
      <c r="AJ72" s="5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1EE4-EC69-43D4-A95E-FD865C55A02A}">
  <sheetPr>
    <tabColor rgb="FF92D050"/>
  </sheetPr>
  <dimension ref="A1:AJ7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800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1363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9" t="s">
        <v>802</v>
      </c>
      <c r="B6" s="60" t="s">
        <v>801</v>
      </c>
      <c r="C6" s="79">
        <v>0</v>
      </c>
      <c r="D6" s="80"/>
      <c r="E6" s="79">
        <v>0</v>
      </c>
      <c r="F6" s="80"/>
      <c r="G6" s="79">
        <v>0</v>
      </c>
      <c r="H6" s="79"/>
      <c r="I6" s="79">
        <v>0</v>
      </c>
      <c r="J6" s="79"/>
      <c r="K6" s="79">
        <v>0</v>
      </c>
      <c r="L6" s="79"/>
      <c r="M6" s="79">
        <v>0</v>
      </c>
      <c r="N6" s="79"/>
      <c r="O6" s="79">
        <f>PRODUCT(M6,0/12)</f>
        <v>0</v>
      </c>
      <c r="P6" s="79"/>
      <c r="Q6" s="79">
        <f>SUM(M6,O6)</f>
        <v>0</v>
      </c>
      <c r="R6" s="79"/>
      <c r="S6" s="79">
        <v>0</v>
      </c>
      <c r="T6" s="79"/>
      <c r="U6" s="79">
        <v>0</v>
      </c>
      <c r="V6" s="79"/>
      <c r="W6" s="79">
        <v>0</v>
      </c>
      <c r="X6" s="79"/>
      <c r="Y6" s="79">
        <f>SUM(W6,-I6)</f>
        <v>0</v>
      </c>
      <c r="Z6" s="62"/>
      <c r="AA6" s="63" t="str">
        <f>IF(W6=0,"N/A",PRODUCT(Y6,1/I6))</f>
        <v>N/A</v>
      </c>
      <c r="AB6" s="62"/>
      <c r="AC6" s="79">
        <f>SUM(W6,-Q6)</f>
        <v>0</v>
      </c>
      <c r="AD6" s="62"/>
      <c r="AE6" s="63" t="str">
        <f>IF(W6=0,"N/A",PRODUCT(AC6,1/Q6))</f>
        <v>N/A</v>
      </c>
      <c r="AF6" s="57"/>
      <c r="AG6" s="57"/>
      <c r="AH6" s="57"/>
      <c r="AI6" s="57"/>
      <c r="AJ6" s="57"/>
    </row>
    <row r="7" spans="1:36" ht="12.75" customHeight="1" x14ac:dyDescent="0.2">
      <c r="A7" s="64" t="s">
        <v>1364</v>
      </c>
      <c r="C7" s="81">
        <f>SUM(C6:C6)</f>
        <v>0</v>
      </c>
      <c r="E7" s="81">
        <f>SUM(E6:E6)</f>
        <v>0</v>
      </c>
      <c r="G7" s="81">
        <f>SUM(G6:G6)</f>
        <v>0</v>
      </c>
      <c r="I7" s="81">
        <f>SUM(I6:I6)</f>
        <v>0</v>
      </c>
      <c r="K7" s="81">
        <f>SUM(K6:K6)</f>
        <v>0</v>
      </c>
      <c r="M7" s="81">
        <f>SUM(M6:M6)</f>
        <v>0</v>
      </c>
      <c r="O7" s="81">
        <f>SUM(O6:O6)</f>
        <v>0</v>
      </c>
      <c r="Q7" s="81">
        <f>SUM(Q6:Q6)</f>
        <v>0</v>
      </c>
      <c r="S7" s="81">
        <f>SUM(S6:S6)</f>
        <v>0</v>
      </c>
      <c r="U7" s="81">
        <f>SUM(U6:U6)</f>
        <v>0</v>
      </c>
      <c r="W7" s="81">
        <f>SUM(W6:W6)</f>
        <v>0</v>
      </c>
      <c r="Y7" s="81">
        <f>SUM(Y6:Y6)</f>
        <v>0</v>
      </c>
      <c r="Z7" s="57"/>
      <c r="AA7" s="65" t="str">
        <f>IF(W7=0,"N/A",PRODUCT(Y7,1/I7))</f>
        <v>N/A</v>
      </c>
      <c r="AB7" s="57"/>
      <c r="AC7" s="81">
        <f>SUM(AC6:AC6)</f>
        <v>0</v>
      </c>
      <c r="AD7" s="57"/>
      <c r="AE7" s="65" t="str">
        <f>IF(W7=0,"N/A",PRODUCT(AC7,1/Q7))</f>
        <v>N/A</v>
      </c>
      <c r="AF7" s="57"/>
      <c r="AG7" s="57"/>
      <c r="AH7" s="57"/>
      <c r="AI7" s="57"/>
      <c r="AJ7" s="57"/>
    </row>
    <row r="8" spans="1:36" ht="12.75" customHeight="1" x14ac:dyDescent="0.2">
      <c r="Z8" s="57"/>
      <c r="AB8" s="57"/>
      <c r="AD8" s="57"/>
      <c r="AF8" s="57"/>
      <c r="AG8" s="57"/>
      <c r="AH8" s="57"/>
      <c r="AI8" s="57"/>
      <c r="AJ8" s="57"/>
    </row>
    <row r="9" spans="1:36" ht="12.75" customHeight="1" x14ac:dyDescent="0.2">
      <c r="A9" s="54" t="s">
        <v>1344</v>
      </c>
      <c r="Z9" s="57"/>
      <c r="AB9" s="57"/>
      <c r="AD9" s="57"/>
      <c r="AF9" s="57"/>
      <c r="AG9" s="57"/>
      <c r="AH9" s="57"/>
      <c r="AI9" s="57"/>
      <c r="AJ9" s="57"/>
    </row>
    <row r="10" spans="1:36" ht="12.75" customHeight="1" x14ac:dyDescent="0.2">
      <c r="A10" s="55" t="s">
        <v>803</v>
      </c>
      <c r="B10" s="56" t="s">
        <v>613</v>
      </c>
      <c r="C10" s="77">
        <v>0</v>
      </c>
      <c r="E10" s="77">
        <v>4.47</v>
      </c>
      <c r="G10" s="77">
        <v>9.81</v>
      </c>
      <c r="I10" s="77">
        <v>0</v>
      </c>
      <c r="K10" s="77">
        <v>0</v>
      </c>
      <c r="M10" s="77">
        <v>17.61</v>
      </c>
      <c r="O10" s="77">
        <f>PRODUCT(M10,0/12)</f>
        <v>0</v>
      </c>
      <c r="Q10" s="77">
        <f>SUM(M10,O10)</f>
        <v>17.61</v>
      </c>
      <c r="S10" s="77">
        <v>12</v>
      </c>
      <c r="U10" s="77">
        <v>12</v>
      </c>
      <c r="W10" s="77">
        <v>12</v>
      </c>
      <c r="Y10" s="77">
        <f>SUM(W10,-I10)</f>
        <v>12</v>
      </c>
      <c r="Z10" s="57"/>
      <c r="AA10" s="58" t="e">
        <f>IF(W10=0,"N/A",PRODUCT(Y10,1/I10))</f>
        <v>#DIV/0!</v>
      </c>
      <c r="AB10" s="57"/>
      <c r="AC10" s="77">
        <f>SUM(W10,-Q10)</f>
        <v>-5.6099999999999994</v>
      </c>
      <c r="AD10" s="57"/>
      <c r="AE10" s="58">
        <f>IF(W10=0,"N/A",PRODUCT(AC10,1/Q10))</f>
        <v>-0.31856899488926743</v>
      </c>
      <c r="AF10" s="57"/>
      <c r="AG10" s="57"/>
      <c r="AH10" s="57"/>
      <c r="AI10" s="57"/>
      <c r="AJ10" s="57"/>
    </row>
    <row r="11" spans="1:36" ht="12.75" customHeight="1" x14ac:dyDescent="0.2">
      <c r="A11" s="59" t="s">
        <v>804</v>
      </c>
      <c r="B11" s="60" t="s">
        <v>947</v>
      </c>
      <c r="C11" s="79">
        <v>10.5</v>
      </c>
      <c r="D11" s="80"/>
      <c r="E11" s="79">
        <v>0</v>
      </c>
      <c r="F11" s="80"/>
      <c r="G11" s="79">
        <v>0</v>
      </c>
      <c r="H11" s="79"/>
      <c r="I11" s="79">
        <v>0</v>
      </c>
      <c r="J11" s="79"/>
      <c r="K11" s="79">
        <v>0</v>
      </c>
      <c r="L11" s="79"/>
      <c r="M11" s="79">
        <v>0</v>
      </c>
      <c r="N11" s="79"/>
      <c r="O11" s="79">
        <f>PRODUCT(M11,0/12)</f>
        <v>0</v>
      </c>
      <c r="P11" s="79"/>
      <c r="Q11" s="79">
        <f>SUM(M11,O11)</f>
        <v>0</v>
      </c>
      <c r="R11" s="79"/>
      <c r="S11" s="79">
        <v>0</v>
      </c>
      <c r="T11" s="79"/>
      <c r="U11" s="79">
        <v>0</v>
      </c>
      <c r="V11" s="79"/>
      <c r="W11" s="79">
        <v>0</v>
      </c>
      <c r="X11" s="79"/>
      <c r="Y11" s="79">
        <f>SUM(W11,-I11)</f>
        <v>0</v>
      </c>
      <c r="Z11" s="62"/>
      <c r="AA11" s="63" t="str">
        <f>IF(W11=0,"N/A",PRODUCT(Y11,1/I11))</f>
        <v>N/A</v>
      </c>
      <c r="AB11" s="62"/>
      <c r="AC11" s="79">
        <f>SUM(W11,-Q11)</f>
        <v>0</v>
      </c>
      <c r="AD11" s="62"/>
      <c r="AE11" s="63" t="str">
        <f>IF(W11=0,"N/A",PRODUCT(AC11,1/Q11))</f>
        <v>N/A</v>
      </c>
      <c r="AF11" s="57"/>
      <c r="AG11" s="57"/>
      <c r="AH11" s="57"/>
      <c r="AI11" s="57"/>
      <c r="AJ11" s="57"/>
    </row>
    <row r="12" spans="1:36" ht="12.75" customHeight="1" x14ac:dyDescent="0.2">
      <c r="A12" s="64" t="s">
        <v>1345</v>
      </c>
      <c r="C12" s="81">
        <f>SUM(C10:C11)</f>
        <v>10.5</v>
      </c>
      <c r="E12" s="81">
        <f>SUM(E10:E11)</f>
        <v>4.47</v>
      </c>
      <c r="G12" s="81">
        <f>SUM(G10:G11)</f>
        <v>9.81</v>
      </c>
      <c r="I12" s="81">
        <f>SUM(I10:I11)</f>
        <v>0</v>
      </c>
      <c r="K12" s="81">
        <f>SUM(K10:K11)</f>
        <v>0</v>
      </c>
      <c r="M12" s="81">
        <f>SUM(M10:M11)</f>
        <v>17.61</v>
      </c>
      <c r="O12" s="81">
        <f>SUM(O10:O11)</f>
        <v>0</v>
      </c>
      <c r="Q12" s="81">
        <f>SUM(Q10:Q11)</f>
        <v>17.61</v>
      </c>
      <c r="S12" s="81">
        <f>SUM(S10:S11)</f>
        <v>12</v>
      </c>
      <c r="U12" s="81">
        <f>SUM(U10:U11)</f>
        <v>12</v>
      </c>
      <c r="W12" s="81">
        <f>SUM(W10:W11)</f>
        <v>12</v>
      </c>
      <c r="Y12" s="81">
        <f>SUM(Y10:Y11)</f>
        <v>12</v>
      </c>
      <c r="Z12" s="57"/>
      <c r="AA12" s="65" t="e">
        <f>IF(W12=0,"N/A",PRODUCT(Y12,1/I12))</f>
        <v>#DIV/0!</v>
      </c>
      <c r="AB12" s="57"/>
      <c r="AC12" s="81">
        <f>SUM(AC10:AC11)</f>
        <v>-5.6099999999999994</v>
      </c>
      <c r="AD12" s="57"/>
      <c r="AE12" s="65">
        <f>IF(W12=0,"N/A",PRODUCT(AC12,1/Q12))</f>
        <v>-0.31856899488926743</v>
      </c>
      <c r="AF12" s="57"/>
      <c r="AG12" s="57"/>
      <c r="AH12" s="57"/>
      <c r="AI12" s="57"/>
      <c r="AJ12" s="57"/>
    </row>
    <row r="13" spans="1:36" ht="12.75" customHeight="1" x14ac:dyDescent="0.2">
      <c r="Z13" s="57"/>
      <c r="AB13" s="57"/>
      <c r="AD13" s="57"/>
      <c r="AF13" s="57"/>
      <c r="AG13" s="57"/>
      <c r="AH13" s="57"/>
      <c r="AI13" s="57"/>
      <c r="AJ13" s="57"/>
    </row>
    <row r="14" spans="1:36" s="51" customFormat="1" ht="12.75" customHeight="1" x14ac:dyDescent="0.2">
      <c r="A14" s="54" t="s">
        <v>1346</v>
      </c>
      <c r="C14" s="106"/>
      <c r="D14" s="78"/>
      <c r="E14" s="106"/>
      <c r="F14" s="78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52"/>
      <c r="AA14" s="58"/>
      <c r="AB14" s="52"/>
      <c r="AC14" s="106"/>
      <c r="AD14" s="52"/>
      <c r="AE14" s="58"/>
      <c r="AF14" s="52"/>
      <c r="AG14" s="52"/>
      <c r="AH14" s="52"/>
      <c r="AI14" s="52"/>
      <c r="AJ14" s="52"/>
    </row>
    <row r="15" spans="1:36" ht="12.75" customHeight="1" x14ac:dyDescent="0.2">
      <c r="A15" s="59" t="s">
        <v>1365</v>
      </c>
      <c r="B15" s="60" t="s">
        <v>1142</v>
      </c>
      <c r="C15" s="79">
        <v>0</v>
      </c>
      <c r="D15" s="80"/>
      <c r="E15" s="79">
        <v>0</v>
      </c>
      <c r="F15" s="80"/>
      <c r="G15" s="79">
        <v>0</v>
      </c>
      <c r="H15" s="79"/>
      <c r="I15" s="79">
        <v>0</v>
      </c>
      <c r="J15" s="79"/>
      <c r="K15" s="79">
        <v>0</v>
      </c>
      <c r="L15" s="79"/>
      <c r="M15" s="79">
        <v>0</v>
      </c>
      <c r="N15" s="79"/>
      <c r="O15" s="79">
        <f>PRODUCT(M15,0/12)</f>
        <v>0</v>
      </c>
      <c r="P15" s="79"/>
      <c r="Q15" s="79">
        <f>SUM(M15,O15)</f>
        <v>0</v>
      </c>
      <c r="R15" s="79"/>
      <c r="S15" s="79">
        <v>8984.75</v>
      </c>
      <c r="T15" s="79"/>
      <c r="U15" s="79">
        <v>8984.75</v>
      </c>
      <c r="V15" s="79"/>
      <c r="W15" s="79">
        <v>8984.68</v>
      </c>
      <c r="X15" s="79"/>
      <c r="Y15" s="79">
        <f>SUM(W15,-I15)</f>
        <v>8984.68</v>
      </c>
      <c r="Z15" s="62"/>
      <c r="AA15" s="63" t="e">
        <f>IF(W15=0,"N/A",PRODUCT(Y15,1/I15))</f>
        <v>#DIV/0!</v>
      </c>
      <c r="AB15" s="62"/>
      <c r="AC15" s="79">
        <f>SUM(W15,-Q15)</f>
        <v>8984.68</v>
      </c>
      <c r="AD15" s="62"/>
      <c r="AE15" s="63" t="e">
        <f>IF(W15=0,"N/A",PRODUCT(AC15,1/Q15))</f>
        <v>#DIV/0!</v>
      </c>
      <c r="AF15" s="57"/>
      <c r="AG15" s="57"/>
      <c r="AH15" s="57"/>
      <c r="AI15" s="57"/>
      <c r="AJ15" s="57"/>
    </row>
    <row r="16" spans="1:36" ht="12.75" customHeight="1" x14ac:dyDescent="0.2">
      <c r="A16" s="64" t="s">
        <v>1347</v>
      </c>
      <c r="C16" s="81">
        <f>SUM(C15:C15)</f>
        <v>0</v>
      </c>
      <c r="E16" s="81">
        <f>SUM(E15:E15)</f>
        <v>0</v>
      </c>
      <c r="G16" s="81">
        <f>SUM(G15:G15)</f>
        <v>0</v>
      </c>
      <c r="I16" s="81">
        <f>SUM(I15:I15)</f>
        <v>0</v>
      </c>
      <c r="K16" s="81">
        <f>SUM(K15:K15)</f>
        <v>0</v>
      </c>
      <c r="M16" s="81">
        <f>SUM(M15:M15)</f>
        <v>0</v>
      </c>
      <c r="O16" s="81">
        <f>SUM(O15:O15)</f>
        <v>0</v>
      </c>
      <c r="Q16" s="81">
        <f>SUM(Q15:Q15)</f>
        <v>0</v>
      </c>
      <c r="S16" s="81">
        <f>SUM(S15:S15)</f>
        <v>8984.75</v>
      </c>
      <c r="U16" s="81">
        <f>SUM(U15:U15)</f>
        <v>8984.75</v>
      </c>
      <c r="W16" s="81">
        <f>SUM(W15:W15)</f>
        <v>8984.68</v>
      </c>
      <c r="Y16" s="81">
        <f>SUM(Y15:Y15)</f>
        <v>8984.68</v>
      </c>
      <c r="Z16" s="57"/>
      <c r="AA16" s="65" t="e">
        <f>IF(W16=0,"N/A",PRODUCT(Y16,1/I16))</f>
        <v>#DIV/0!</v>
      </c>
      <c r="AB16" s="57"/>
      <c r="AC16" s="81">
        <f>SUM(AC15:AC15)</f>
        <v>8984.68</v>
      </c>
      <c r="AD16" s="57"/>
      <c r="AE16" s="65" t="e">
        <f>IF(W16=0,"N/A",PRODUCT(AC16,1/Q16))</f>
        <v>#DIV/0!</v>
      </c>
      <c r="AF16" s="57"/>
      <c r="AG16" s="57"/>
      <c r="AH16" s="57"/>
      <c r="AI16" s="57"/>
      <c r="AJ16" s="57"/>
    </row>
    <row r="17" spans="1:36" ht="12.75" customHeight="1" x14ac:dyDescent="0.2">
      <c r="Z17" s="57"/>
      <c r="AB17" s="57"/>
      <c r="AD17" s="57"/>
      <c r="AF17" s="57"/>
      <c r="AG17" s="57"/>
      <c r="AH17" s="57"/>
      <c r="AI17" s="57"/>
      <c r="AJ17" s="57"/>
    </row>
    <row r="18" spans="1:36" ht="12.75" customHeight="1" thickBot="1" x14ac:dyDescent="0.25">
      <c r="A18" s="67" t="s">
        <v>805</v>
      </c>
      <c r="C18" s="83">
        <f>SUM(C7,C12,C16)</f>
        <v>10.5</v>
      </c>
      <c r="E18" s="83">
        <f>SUM(E7,E12,E16)</f>
        <v>4.47</v>
      </c>
      <c r="G18" s="83">
        <f>SUM(G7,G12,G16)</f>
        <v>9.81</v>
      </c>
      <c r="I18" s="83">
        <f>SUM(I7,I12,I16)</f>
        <v>0</v>
      </c>
      <c r="K18" s="83">
        <f>SUM(K7,K12,K16)</f>
        <v>0</v>
      </c>
      <c r="M18" s="82">
        <f>SUM(M7,M12,M16)</f>
        <v>17.61</v>
      </c>
      <c r="O18" s="82">
        <f>SUM(O7,O12,O16)</f>
        <v>0</v>
      </c>
      <c r="Q18" s="83">
        <f>SUM(Q7,Q12,Q16)</f>
        <v>17.61</v>
      </c>
      <c r="S18" s="82">
        <f>SUM(S7,S12,S16)</f>
        <v>8996.75</v>
      </c>
      <c r="U18" s="82">
        <f>SUM(U7,U12,U16)</f>
        <v>8996.75</v>
      </c>
      <c r="W18" s="83">
        <f>SUM(W7,W12,W16)</f>
        <v>8996.68</v>
      </c>
      <c r="Y18" s="82">
        <f>SUM(Y7,Y12,Y16)</f>
        <v>8996.68</v>
      </c>
      <c r="Z18" s="57"/>
      <c r="AA18" s="125" t="e">
        <f>IF(W18=0,"N/A",PRODUCT(Y18,1/I18))</f>
        <v>#DIV/0!</v>
      </c>
      <c r="AB18" s="57"/>
      <c r="AC18" s="82">
        <f>SUM(AC7,AC12,AC16)</f>
        <v>8979.07</v>
      </c>
      <c r="AD18" s="57"/>
      <c r="AE18" s="125">
        <f>IF(W18=0,"N/A",PRODUCT(AC18,1/Q18))</f>
        <v>509.88472458830211</v>
      </c>
      <c r="AF18" s="57"/>
      <c r="AG18" s="57"/>
      <c r="AH18" s="57"/>
      <c r="AI18" s="57"/>
      <c r="AJ18" s="57"/>
    </row>
    <row r="19" spans="1:36" ht="12.75" customHeight="1" thickTop="1" x14ac:dyDescent="0.2">
      <c r="Z19" s="57"/>
      <c r="AB19" s="57"/>
      <c r="AD19" s="57"/>
      <c r="AF19" s="57"/>
      <c r="AG19" s="57"/>
      <c r="AH19" s="57"/>
      <c r="AI19" s="57"/>
      <c r="AJ19" s="57"/>
    </row>
    <row r="20" spans="1:36" ht="12.75" customHeight="1" x14ac:dyDescent="0.2">
      <c r="Z20" s="57"/>
      <c r="AB20" s="57"/>
      <c r="AD20" s="57"/>
      <c r="AF20" s="57"/>
      <c r="AG20" s="57"/>
      <c r="AH20" s="57"/>
      <c r="AI20" s="57"/>
      <c r="AJ20" s="57"/>
    </row>
    <row r="21" spans="1:36" ht="12.75" customHeight="1" x14ac:dyDescent="0.2">
      <c r="Z21" s="57"/>
      <c r="AB21" s="57"/>
      <c r="AD21" s="57"/>
      <c r="AF21" s="57"/>
      <c r="AG21" s="57"/>
      <c r="AH21" s="57"/>
      <c r="AI21" s="57"/>
      <c r="AJ21" s="57"/>
    </row>
    <row r="22" spans="1:36" ht="12.75" customHeight="1" x14ac:dyDescent="0.2">
      <c r="A22" s="67" t="s">
        <v>806</v>
      </c>
      <c r="Z22" s="57"/>
      <c r="AB22" s="57"/>
      <c r="AD22" s="57"/>
      <c r="AF22" s="57"/>
      <c r="AG22" s="57"/>
      <c r="AH22" s="57"/>
      <c r="AI22" s="57"/>
      <c r="AJ22" s="57"/>
    </row>
    <row r="23" spans="1:36" ht="12.75" customHeight="1" x14ac:dyDescent="0.2">
      <c r="A23" s="54" t="s">
        <v>69</v>
      </c>
      <c r="Z23" s="57"/>
      <c r="AB23" s="57"/>
      <c r="AD23" s="57"/>
      <c r="AF23" s="57"/>
      <c r="AG23" s="57"/>
      <c r="AH23" s="57"/>
      <c r="AI23" s="57"/>
      <c r="AJ23" s="57"/>
    </row>
    <row r="24" spans="1:36" ht="12.75" customHeight="1" x14ac:dyDescent="0.2">
      <c r="A24" s="59" t="s">
        <v>807</v>
      </c>
      <c r="B24" s="60" t="s">
        <v>325</v>
      </c>
      <c r="C24" s="79">
        <v>0</v>
      </c>
      <c r="D24" s="80"/>
      <c r="E24" s="79">
        <v>0</v>
      </c>
      <c r="F24" s="80"/>
      <c r="G24" s="79">
        <v>0</v>
      </c>
      <c r="H24" s="79"/>
      <c r="I24" s="79">
        <v>0</v>
      </c>
      <c r="J24" s="79"/>
      <c r="K24" s="79">
        <v>0</v>
      </c>
      <c r="L24" s="79"/>
      <c r="M24" s="79">
        <v>0</v>
      </c>
      <c r="N24" s="79"/>
      <c r="O24" s="79">
        <f>PRODUCT(M24,0/12)</f>
        <v>0</v>
      </c>
      <c r="P24" s="79"/>
      <c r="Q24" s="79">
        <f>SUM(M24,O24)</f>
        <v>0</v>
      </c>
      <c r="R24" s="79"/>
      <c r="S24" s="79">
        <v>0</v>
      </c>
      <c r="T24" s="79"/>
      <c r="U24" s="79">
        <v>12</v>
      </c>
      <c r="V24" s="79"/>
      <c r="W24" s="79">
        <v>8996.68</v>
      </c>
      <c r="X24" s="79"/>
      <c r="Y24" s="79">
        <f>SUM(W24,-I24)</f>
        <v>8996.68</v>
      </c>
      <c r="Z24" s="62"/>
      <c r="AA24" s="63" t="e">
        <f>IF(W24=0,"N/A",PRODUCT(Y24,1/I24))</f>
        <v>#DIV/0!</v>
      </c>
      <c r="AB24" s="62"/>
      <c r="AC24" s="79">
        <f>SUM(W24,-Q24)</f>
        <v>8996.68</v>
      </c>
      <c r="AD24" s="62"/>
      <c r="AE24" s="63" t="e">
        <f>IF(W24=0,"N/A",PRODUCT(AC24,1/Q24))</f>
        <v>#DIV/0!</v>
      </c>
      <c r="AF24" s="57"/>
      <c r="AG24" s="57"/>
      <c r="AH24" s="57"/>
      <c r="AI24" s="57"/>
      <c r="AJ24" s="57"/>
    </row>
    <row r="25" spans="1:36" ht="12.75" customHeight="1" x14ac:dyDescent="0.2">
      <c r="A25" s="64" t="s">
        <v>70</v>
      </c>
      <c r="C25" s="81">
        <f>SUM(C24:C24)</f>
        <v>0</v>
      </c>
      <c r="E25" s="81">
        <f>SUM(E24:E24)</f>
        <v>0</v>
      </c>
      <c r="G25" s="81">
        <f>SUM(G24:G24)</f>
        <v>0</v>
      </c>
      <c r="I25" s="81">
        <f>SUM(I24:I24)</f>
        <v>0</v>
      </c>
      <c r="K25" s="81">
        <f>SUM(K24:K24)</f>
        <v>0</v>
      </c>
      <c r="M25" s="81">
        <f>SUM(M24:M24)</f>
        <v>0</v>
      </c>
      <c r="O25" s="81">
        <f>SUM(O24:O24)</f>
        <v>0</v>
      </c>
      <c r="Q25" s="81">
        <f>SUM(Q24:Q24)</f>
        <v>0</v>
      </c>
      <c r="S25" s="81">
        <f>SUM(S24:S24)</f>
        <v>0</v>
      </c>
      <c r="U25" s="81">
        <f>SUM(U24:U24)</f>
        <v>12</v>
      </c>
      <c r="W25" s="81">
        <f>SUM(W24:W24)</f>
        <v>8996.68</v>
      </c>
      <c r="Y25" s="81">
        <f>SUM(Y24:Y24)</f>
        <v>8996.68</v>
      </c>
      <c r="Z25" s="57"/>
      <c r="AA25" s="65" t="e">
        <f>IF(W25=0,"N/A",PRODUCT(Y25,1/I25))</f>
        <v>#DIV/0!</v>
      </c>
      <c r="AB25" s="57"/>
      <c r="AC25" s="81">
        <f>SUM(AC24:AC24)</f>
        <v>8996.68</v>
      </c>
      <c r="AD25" s="57"/>
      <c r="AE25" s="65" t="e">
        <f>IF(W25=0,"N/A",PRODUCT(AC25,1/Q25))</f>
        <v>#DIV/0!</v>
      </c>
      <c r="AF25" s="57"/>
      <c r="AG25" s="57"/>
      <c r="AH25" s="57"/>
      <c r="AI25" s="57"/>
      <c r="AJ25" s="57"/>
    </row>
    <row r="26" spans="1:36" ht="12.75" customHeight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thickBot="1" x14ac:dyDescent="0.25">
      <c r="A27" s="67" t="s">
        <v>808</v>
      </c>
      <c r="C27" s="83">
        <f>SUM(C25)</f>
        <v>0</v>
      </c>
      <c r="E27" s="83">
        <f>SUM(E25)</f>
        <v>0</v>
      </c>
      <c r="G27" s="83">
        <f>SUM(G25)</f>
        <v>0</v>
      </c>
      <c r="I27" s="83">
        <f>SUM(I25)</f>
        <v>0</v>
      </c>
      <c r="K27" s="83">
        <f>SUM(K25)</f>
        <v>0</v>
      </c>
      <c r="M27" s="82">
        <f>SUM(M25)</f>
        <v>0</v>
      </c>
      <c r="O27" s="82">
        <f>SUM(O25)</f>
        <v>0</v>
      </c>
      <c r="Q27" s="83">
        <f>SUM(Q25)</f>
        <v>0</v>
      </c>
      <c r="S27" s="82">
        <f>SUM(S25)</f>
        <v>0</v>
      </c>
      <c r="U27" s="82">
        <f>SUM(U25)</f>
        <v>12</v>
      </c>
      <c r="W27" s="83">
        <f>SUM(W25)</f>
        <v>8996.68</v>
      </c>
      <c r="Y27" s="82">
        <f>SUM(Y25)</f>
        <v>8996.68</v>
      </c>
      <c r="Z27" s="57"/>
      <c r="AA27" s="125" t="e">
        <f>IF(W27=0,"N/A",PRODUCT(Y27,1/I27))</f>
        <v>#DIV/0!</v>
      </c>
      <c r="AB27" s="57"/>
      <c r="AC27" s="82">
        <f>SUM(AC25)</f>
        <v>8996.68</v>
      </c>
      <c r="AD27" s="57"/>
      <c r="AE27" s="125" t="e">
        <f>IF(W27=0,"N/A",PRODUCT(AC27,1/Q27))</f>
        <v>#DIV/0!</v>
      </c>
      <c r="AF27" s="57"/>
      <c r="AG27" s="57"/>
      <c r="AH27" s="57"/>
      <c r="AI27" s="57"/>
      <c r="AJ27" s="57"/>
    </row>
    <row r="28" spans="1:36" ht="12.75" customHeight="1" thickTop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A31" s="67" t="s">
        <v>786</v>
      </c>
      <c r="C31" s="88">
        <f>SUM(C18,-C27)</f>
        <v>10.5</v>
      </c>
      <c r="E31" s="88">
        <f>SUM(E18,-E27)</f>
        <v>4.47</v>
      </c>
      <c r="G31" s="88">
        <f>SUM(G18,-G27)</f>
        <v>9.81</v>
      </c>
      <c r="I31" s="88">
        <f>SUM(I18,-I27)</f>
        <v>0</v>
      </c>
      <c r="K31" s="88">
        <f>SUM(K18,-K27)</f>
        <v>0</v>
      </c>
      <c r="M31" s="88">
        <f>SUM(M18,-M27)</f>
        <v>17.61</v>
      </c>
      <c r="O31" s="88">
        <f>SUM(O18,-O27)</f>
        <v>0</v>
      </c>
      <c r="Q31" s="88">
        <f>SUM(Q18,-Q27)</f>
        <v>17.61</v>
      </c>
      <c r="S31" s="88">
        <f>SUM(S18,-S27)</f>
        <v>8996.75</v>
      </c>
      <c r="U31" s="88">
        <f>SUM(U18,-U27)</f>
        <v>8984.75</v>
      </c>
      <c r="W31" s="88">
        <f>SUM(W18,-W27)</f>
        <v>0</v>
      </c>
      <c r="Z31" s="57"/>
      <c r="AB31" s="57"/>
      <c r="AD31" s="57"/>
      <c r="AE31" s="65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x14ac:dyDescent="0.2">
      <c r="A33" s="70" t="s">
        <v>787</v>
      </c>
      <c r="C33" s="77">
        <v>8942.08</v>
      </c>
      <c r="E33" s="77">
        <f>C37</f>
        <v>8952.58</v>
      </c>
      <c r="G33" s="77">
        <f>E37</f>
        <v>8957.0499999999993</v>
      </c>
      <c r="I33" s="77">
        <f>G37</f>
        <v>8966.8599999999988</v>
      </c>
      <c r="K33" s="77">
        <f>G37</f>
        <v>8966.8599999999988</v>
      </c>
      <c r="Q33" s="77">
        <f>G37</f>
        <v>8966.8599999999988</v>
      </c>
      <c r="W33" s="77">
        <f>Q37</f>
        <v>8984.4699999999993</v>
      </c>
      <c r="Z33" s="57"/>
      <c r="AB33" s="57"/>
      <c r="AD33" s="57"/>
      <c r="AF33" s="57"/>
      <c r="AG33" s="57"/>
      <c r="AH33" s="57"/>
      <c r="AI33" s="57"/>
      <c r="AJ33" s="57"/>
    </row>
    <row r="34" spans="1:36" ht="12.75" customHeight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A35" s="70" t="s">
        <v>788</v>
      </c>
      <c r="C35" s="77">
        <f>-C15</f>
        <v>0</v>
      </c>
      <c r="E35" s="77">
        <f>-E15</f>
        <v>0</v>
      </c>
      <c r="G35" s="77">
        <f>-G15</f>
        <v>0</v>
      </c>
      <c r="I35" s="77">
        <f>-I15</f>
        <v>0</v>
      </c>
      <c r="K35" s="77">
        <f>-K15</f>
        <v>0</v>
      </c>
      <c r="Q35" s="77">
        <f>-Q15</f>
        <v>0</v>
      </c>
      <c r="W35" s="77">
        <f>-W15</f>
        <v>-8984.68</v>
      </c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ht="12.75" customHeight="1" thickBot="1" x14ac:dyDescent="0.25">
      <c r="A37" s="67" t="s">
        <v>789</v>
      </c>
      <c r="C37" s="83">
        <f>SUM(C31,C33,C35)</f>
        <v>8952.58</v>
      </c>
      <c r="E37" s="83">
        <f>SUM(E31,E33,E35)</f>
        <v>8957.0499999999993</v>
      </c>
      <c r="G37" s="83">
        <f>SUM(G31,G33,G35)</f>
        <v>8966.8599999999988</v>
      </c>
      <c r="I37" s="83">
        <f>SUM(I31,I33,I35)</f>
        <v>8966.8599999999988</v>
      </c>
      <c r="K37" s="83">
        <f>SUM(K31,K33,K35)</f>
        <v>8966.8599999999988</v>
      </c>
      <c r="M37" s="88"/>
      <c r="O37" s="88"/>
      <c r="Q37" s="83">
        <f>SUM(Q31,Q33,Q35)</f>
        <v>8984.4699999999993</v>
      </c>
      <c r="S37" s="88"/>
      <c r="U37" s="88"/>
      <c r="W37" s="83">
        <f>SUM(W31,W33,W35)</f>
        <v>-0.21000000000094587</v>
      </c>
      <c r="Z37" s="57"/>
      <c r="AB37" s="57"/>
      <c r="AD37" s="57"/>
      <c r="AE37" s="65"/>
      <c r="AF37" s="57"/>
      <c r="AG37" s="57"/>
      <c r="AH37" s="57"/>
      <c r="AI37" s="57"/>
      <c r="AJ37" s="57"/>
    </row>
    <row r="38" spans="1:36" ht="12.75" customHeight="1" thickTop="1" x14ac:dyDescent="0.2">
      <c r="Z38" s="57"/>
      <c r="AB38" s="57"/>
      <c r="AD38" s="57"/>
      <c r="AF38" s="57"/>
      <c r="AG38" s="57"/>
      <c r="AH38" s="57"/>
      <c r="AI38" s="57"/>
      <c r="AJ38" s="57"/>
    </row>
    <row r="39" spans="1:36" ht="12.75" customHeight="1" x14ac:dyDescent="0.2">
      <c r="Z39" s="57"/>
      <c r="AB39" s="57"/>
      <c r="AD39" s="57"/>
      <c r="AF39" s="57"/>
      <c r="AG39" s="57"/>
      <c r="AH39" s="57"/>
      <c r="AI39" s="57"/>
      <c r="AJ39" s="57"/>
    </row>
    <row r="40" spans="1:36" ht="12.75" customHeight="1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ht="12.75" customHeight="1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x14ac:dyDescent="0.2">
      <c r="Z42" s="57"/>
      <c r="AB42" s="57"/>
      <c r="AD42" s="57"/>
      <c r="AF42" s="57"/>
      <c r="AG42" s="57"/>
      <c r="AH42" s="105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x14ac:dyDescent="0.2">
      <c r="Z70" s="57"/>
      <c r="AB70" s="57"/>
      <c r="AD70" s="57"/>
      <c r="AF70" s="57"/>
      <c r="AG70" s="57"/>
      <c r="AH70" s="57"/>
      <c r="AI70" s="57"/>
      <c r="AJ70" s="57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487F-2811-43DA-95E1-A74D9616F598}">
  <sheetPr>
    <pageSetUpPr fitToPage="1"/>
  </sheetPr>
  <dimension ref="A1:U58"/>
  <sheetViews>
    <sheetView showGridLines="0" topLeftCell="A9" workbookViewId="0">
      <selection activeCell="H42" sqref="H42"/>
    </sheetView>
  </sheetViews>
  <sheetFormatPr defaultColWidth="9.140625" defaultRowHeight="12.75" x14ac:dyDescent="0.2"/>
  <cols>
    <col min="1" max="1" width="51.5703125" style="56" bestFit="1" customWidth="1"/>
    <col min="2" max="2" width="14.7109375" style="56" customWidth="1"/>
    <col min="3" max="3" width="1.7109375" style="56" customWidth="1"/>
    <col min="4" max="4" width="14.7109375" style="56" customWidth="1"/>
    <col min="5" max="5" width="1.7109375" style="56" customWidth="1"/>
    <col min="6" max="6" width="14.7109375" style="56" customWidth="1"/>
    <col min="7" max="7" width="1.7109375" style="56" customWidth="1"/>
    <col min="8" max="8" width="14.7109375" style="56" customWidth="1"/>
    <col min="9" max="9" width="1.7109375" style="56" customWidth="1"/>
    <col min="10" max="10" width="14.7109375" style="56" customWidth="1"/>
    <col min="11" max="11" width="1.7109375" style="56" customWidth="1"/>
    <col min="12" max="12" width="14.7109375" style="56" customWidth="1"/>
    <col min="13" max="13" width="1.7109375" style="56" customWidth="1"/>
    <col min="14" max="14" width="14.7109375" style="56" customWidth="1"/>
    <col min="15" max="15" width="1.7109375" style="56" customWidth="1"/>
    <col min="16" max="16" width="14.7109375" style="56" customWidth="1"/>
    <col min="17" max="17" width="1.7109375" style="56" customWidth="1"/>
    <col min="18" max="18" width="14.7109375" style="56" customWidth="1"/>
    <col min="19" max="16384" width="9.140625" style="56"/>
  </cols>
  <sheetData>
    <row r="1" spans="1:21" ht="18.75" x14ac:dyDescent="0.3">
      <c r="A1" s="128" t="s">
        <v>1235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2"/>
      <c r="T1" s="72"/>
      <c r="U1" s="72"/>
    </row>
    <row r="2" spans="1:21" x14ac:dyDescent="0.2">
      <c r="A2" s="72"/>
      <c r="B2" s="71" t="s">
        <v>1274</v>
      </c>
      <c r="C2" s="71"/>
      <c r="D2" s="71" t="s">
        <v>1275</v>
      </c>
      <c r="E2" s="71"/>
      <c r="F2" s="71" t="s">
        <v>1276</v>
      </c>
      <c r="G2" s="71"/>
      <c r="H2" s="71" t="s">
        <v>1277</v>
      </c>
      <c r="I2" s="71"/>
      <c r="J2" s="71" t="s">
        <v>1278</v>
      </c>
      <c r="K2" s="71"/>
      <c r="L2" s="71" t="s">
        <v>1279</v>
      </c>
      <c r="M2" s="71"/>
      <c r="N2" s="71" t="s">
        <v>1280</v>
      </c>
      <c r="O2" s="71"/>
      <c r="P2" s="71" t="s">
        <v>1281</v>
      </c>
      <c r="Q2" s="71"/>
      <c r="R2" s="71" t="s">
        <v>1282</v>
      </c>
      <c r="S2" s="72"/>
      <c r="T2" s="72"/>
      <c r="U2" s="72"/>
    </row>
    <row r="3" spans="1:21" x14ac:dyDescent="0.2">
      <c r="A3" s="72" t="s">
        <v>1236</v>
      </c>
      <c r="B3" s="91">
        <f>'GF-R'!C40</f>
        <v>5055693.4400000004</v>
      </c>
      <c r="C3" s="91"/>
      <c r="D3" s="91">
        <f>'GF-R'!E40</f>
        <v>5515084.8399999999</v>
      </c>
      <c r="E3" s="91"/>
      <c r="F3" s="91">
        <f>'GF-R'!G40</f>
        <v>5918217.54</v>
      </c>
      <c r="G3" s="91"/>
      <c r="H3" s="91">
        <f>'GF-R'!Q40</f>
        <v>6475218.3300000001</v>
      </c>
      <c r="I3" s="91"/>
      <c r="J3" s="91">
        <f>'GF-R'!W40</f>
        <v>7079586</v>
      </c>
      <c r="K3" s="91"/>
      <c r="L3" s="91">
        <v>7230000</v>
      </c>
      <c r="M3" s="91"/>
      <c r="N3" s="91">
        <v>7650000</v>
      </c>
      <c r="O3" s="91"/>
      <c r="P3" s="91">
        <v>8100000</v>
      </c>
      <c r="Q3" s="91"/>
      <c r="R3" s="91">
        <v>8580000</v>
      </c>
      <c r="S3" s="72"/>
      <c r="T3" s="72"/>
      <c r="U3" s="72"/>
    </row>
    <row r="4" spans="1:21" x14ac:dyDescent="0.2">
      <c r="A4" s="73" t="s">
        <v>1237</v>
      </c>
      <c r="B4" s="92">
        <f>'GF-R'!C41</f>
        <v>40317.54</v>
      </c>
      <c r="C4" s="92"/>
      <c r="D4" s="92">
        <f>'GF-R'!E41</f>
        <v>60745.15</v>
      </c>
      <c r="E4" s="92"/>
      <c r="F4" s="92">
        <f>'GF-R'!G41</f>
        <v>51584.52</v>
      </c>
      <c r="G4" s="92"/>
      <c r="H4" s="92">
        <f>'GF-R'!Q41</f>
        <v>61392.160000000003</v>
      </c>
      <c r="I4" s="92"/>
      <c r="J4" s="92">
        <f>'GF-R'!W41</f>
        <v>55000</v>
      </c>
      <c r="K4" s="92"/>
      <c r="L4" s="92">
        <v>52500</v>
      </c>
      <c r="M4" s="92"/>
      <c r="N4" s="92">
        <v>56000</v>
      </c>
      <c r="O4" s="92"/>
      <c r="P4" s="92">
        <v>54500</v>
      </c>
      <c r="Q4" s="92"/>
      <c r="R4" s="92">
        <v>56500</v>
      </c>
      <c r="S4" s="72"/>
      <c r="T4" s="72"/>
      <c r="U4" s="72"/>
    </row>
    <row r="5" spans="1:21" x14ac:dyDescent="0.2">
      <c r="A5" s="72" t="s">
        <v>1238</v>
      </c>
      <c r="B5" s="91">
        <f>SUM('GF-R'!C43,'GF-R'!C72)</f>
        <v>1427302.8599999999</v>
      </c>
      <c r="C5" s="91"/>
      <c r="D5" s="91">
        <f>SUM('GF-R'!E43,'GF-R'!E72)</f>
        <v>1858520.85</v>
      </c>
      <c r="E5" s="91"/>
      <c r="F5" s="91">
        <f>SUM('GF-R'!G43,'GF-R'!G72)</f>
        <v>2499667</v>
      </c>
      <c r="G5" s="91"/>
      <c r="H5" s="91">
        <f>SUM('GF-R'!Q43,'GF-R'!Q72)</f>
        <v>2601811.4500000002</v>
      </c>
      <c r="I5" s="91"/>
      <c r="J5" s="91">
        <f>SUM('GF-R'!W43,'GF-R'!W72)</f>
        <v>3000000</v>
      </c>
      <c r="K5" s="91"/>
      <c r="L5" s="91">
        <v>3350000</v>
      </c>
      <c r="M5" s="91"/>
      <c r="N5" s="91">
        <v>3575000</v>
      </c>
      <c r="O5" s="91"/>
      <c r="P5" s="91">
        <v>3800000</v>
      </c>
      <c r="Q5" s="91"/>
      <c r="R5" s="91">
        <v>4100000</v>
      </c>
      <c r="S5" s="72"/>
      <c r="T5" s="72"/>
      <c r="U5" s="72"/>
    </row>
    <row r="6" spans="1:21" x14ac:dyDescent="0.2">
      <c r="A6" s="73" t="s">
        <v>1239</v>
      </c>
      <c r="B6" s="92">
        <f>'GF-R'!C42</f>
        <v>68696.09</v>
      </c>
      <c r="C6" s="92"/>
      <c r="D6" s="92">
        <f>'GF-R'!E42</f>
        <v>97385.48</v>
      </c>
      <c r="E6" s="92"/>
      <c r="F6" s="92">
        <f>'GF-R'!G42</f>
        <v>142210.66</v>
      </c>
      <c r="G6" s="92"/>
      <c r="H6" s="92">
        <f>'GF-R'!Q42</f>
        <v>111427.39</v>
      </c>
      <c r="I6" s="92"/>
      <c r="J6" s="92">
        <f>'GF-R'!W42</f>
        <v>135000</v>
      </c>
      <c r="K6" s="92"/>
      <c r="L6" s="92">
        <v>145000</v>
      </c>
      <c r="M6" s="92"/>
      <c r="N6" s="92">
        <v>148900</v>
      </c>
      <c r="O6" s="92"/>
      <c r="P6" s="92">
        <v>152000</v>
      </c>
      <c r="Q6" s="92"/>
      <c r="R6" s="92">
        <v>155000</v>
      </c>
      <c r="S6" s="72"/>
      <c r="T6" s="72"/>
      <c r="U6" s="72"/>
    </row>
    <row r="7" spans="1:21" x14ac:dyDescent="0.2">
      <c r="A7" s="72" t="s">
        <v>1240</v>
      </c>
      <c r="B7" s="91">
        <f>SUM('GF-R'!C33,'GF-R'!C37,'GF-R'!C56)</f>
        <v>394122.77</v>
      </c>
      <c r="C7" s="91"/>
      <c r="D7" s="91">
        <f>SUM('GF-R'!E33,'GF-R'!E37,'GF-R'!E56)</f>
        <v>405533.44999999995</v>
      </c>
      <c r="E7" s="91"/>
      <c r="F7" s="91">
        <f>SUM('GF-R'!G33,'GF-R'!G37,'GF-R'!G56)</f>
        <v>505897.52999999991</v>
      </c>
      <c r="G7" s="91"/>
      <c r="H7" s="91">
        <f>SUM('GF-R'!Q33,'GF-R'!Q37,'GF-R'!Q56)</f>
        <v>454078.13</v>
      </c>
      <c r="I7" s="91"/>
      <c r="J7" s="91">
        <f>SUM('GF-R'!W33,'GF-R'!W37,'GF-R'!W56)</f>
        <v>441000</v>
      </c>
      <c r="K7" s="91"/>
      <c r="L7" s="91">
        <v>475000</v>
      </c>
      <c r="M7" s="91"/>
      <c r="N7" s="91">
        <v>500000</v>
      </c>
      <c r="O7" s="91"/>
      <c r="P7" s="91">
        <v>517000</v>
      </c>
      <c r="Q7" s="91"/>
      <c r="R7" s="91">
        <v>537000</v>
      </c>
      <c r="S7" s="72"/>
      <c r="T7" s="72"/>
      <c r="U7" s="72"/>
    </row>
    <row r="8" spans="1:21" x14ac:dyDescent="0.2">
      <c r="A8" s="73" t="s">
        <v>1241</v>
      </c>
      <c r="B8" s="92">
        <f>SUM('GF-R'!C44,'GF-R'!C45,'GF-R'!C47,'GF-R'!C48)</f>
        <v>240383.03</v>
      </c>
      <c r="C8" s="92"/>
      <c r="D8" s="92">
        <f>SUM('GF-R'!E44,'GF-R'!E45,'GF-R'!E47,'GF-R'!E48)</f>
        <v>231274.51</v>
      </c>
      <c r="E8" s="92"/>
      <c r="F8" s="92">
        <f>SUM('GF-R'!G44,'GF-R'!G45,'GF-R'!G47,'GF-R'!G48)</f>
        <v>245871.82</v>
      </c>
      <c r="G8" s="92"/>
      <c r="H8" s="92">
        <f>SUM('GF-R'!Q44,'GF-R'!Q45,'GF-R'!Q47,'GF-R'!Q48)</f>
        <v>272263.57</v>
      </c>
      <c r="I8" s="92"/>
      <c r="J8" s="92">
        <f>SUM('GF-R'!W44,'GF-R'!W45,'GF-R'!W47,'GF-R'!W48)</f>
        <v>238000</v>
      </c>
      <c r="K8" s="92"/>
      <c r="L8" s="92">
        <v>235000</v>
      </c>
      <c r="M8" s="92"/>
      <c r="N8" s="92">
        <v>240000</v>
      </c>
      <c r="O8" s="92"/>
      <c r="P8" s="92">
        <v>238000</v>
      </c>
      <c r="Q8" s="92"/>
      <c r="R8" s="92">
        <v>246000</v>
      </c>
      <c r="S8" s="72"/>
      <c r="T8" s="72"/>
      <c r="U8" s="72"/>
    </row>
    <row r="9" spans="1:21" x14ac:dyDescent="0.2">
      <c r="A9" s="72" t="s">
        <v>926</v>
      </c>
      <c r="B9" s="91">
        <f>'GF-R'!C69</f>
        <v>382938.02</v>
      </c>
      <c r="C9" s="91"/>
      <c r="D9" s="91">
        <f>'GF-R'!E69</f>
        <v>486239.19999999995</v>
      </c>
      <c r="E9" s="91"/>
      <c r="F9" s="91">
        <f>'GF-R'!G69</f>
        <v>648599.8899999999</v>
      </c>
      <c r="G9" s="91"/>
      <c r="H9" s="91">
        <f>'GF-R'!Q69</f>
        <v>1132031.47</v>
      </c>
      <c r="I9" s="91"/>
      <c r="J9" s="91">
        <f>'GF-R'!W69</f>
        <v>728000</v>
      </c>
      <c r="K9" s="91"/>
      <c r="L9" s="91">
        <v>770000</v>
      </c>
      <c r="M9" s="91"/>
      <c r="N9" s="91">
        <v>800000</v>
      </c>
      <c r="O9" s="91"/>
      <c r="P9" s="91">
        <v>825000</v>
      </c>
      <c r="Q9" s="91"/>
      <c r="R9" s="91">
        <v>835000</v>
      </c>
      <c r="S9" s="72"/>
      <c r="T9" s="72"/>
      <c r="U9" s="72"/>
    </row>
    <row r="10" spans="1:21" x14ac:dyDescent="0.2">
      <c r="A10" s="73" t="s">
        <v>1242</v>
      </c>
      <c r="B10" s="92">
        <f>SUM('GF-R'!C12,'GF-R'!C13,'GF-R'!C14,'GF-R'!C15,'GF-R'!C16,'GF-R'!C17,'GF-R'!C18,'GF-R'!C19,'GF-R'!C20)</f>
        <v>84915.689999999988</v>
      </c>
      <c r="C10" s="92"/>
      <c r="D10" s="92">
        <f>SUM('GF-R'!E12,'GF-R'!E13,'GF-R'!E14,'GF-R'!E15,'GF-R'!E16,'GF-R'!E17,'GF-R'!E18,'GF-R'!E19,'GF-R'!E20)</f>
        <v>49783.499999999993</v>
      </c>
      <c r="E10" s="92"/>
      <c r="F10" s="92">
        <f>SUM('GF-R'!G12,'GF-R'!G13,'GF-R'!G14,'GF-R'!G15,'GF-R'!G16,'GF-R'!G17,'GF-R'!G18,'GF-R'!G19,'GF-R'!G20)</f>
        <v>81450.800000000017</v>
      </c>
      <c r="G10" s="92"/>
      <c r="H10" s="92">
        <f>SUM('GF-R'!Q12,'GF-R'!Q13,'GF-R'!Q14,'GF-R'!Q15,'GF-R'!Q16,'GF-R'!Q17,'GF-R'!Q18,'GF-R'!Q19,'GF-R'!Q20)</f>
        <v>105809.20000000001</v>
      </c>
      <c r="I10" s="92"/>
      <c r="J10" s="92">
        <f>SUM('GF-R'!W12,'GF-R'!W13,'GF-R'!W14,'GF-R'!W15,'GF-R'!W16,'GF-R'!W17,'GF-R'!W18,'GF-R'!W19,'GF-R'!W20)</f>
        <v>100550</v>
      </c>
      <c r="K10" s="92"/>
      <c r="L10" s="92">
        <v>55490</v>
      </c>
      <c r="M10" s="92"/>
      <c r="N10" s="92">
        <v>67500</v>
      </c>
      <c r="O10" s="92"/>
      <c r="P10" s="92">
        <v>72000</v>
      </c>
      <c r="Q10" s="92"/>
      <c r="R10" s="92">
        <v>75000</v>
      </c>
      <c r="S10" s="72"/>
      <c r="T10" s="72"/>
      <c r="U10" s="72"/>
    </row>
    <row r="11" spans="1:21" x14ac:dyDescent="0.2">
      <c r="A11" s="72" t="s">
        <v>1155</v>
      </c>
      <c r="B11" s="91">
        <f>'GF-R'!C6</f>
        <v>749000.04</v>
      </c>
      <c r="C11" s="91"/>
      <c r="D11" s="91">
        <f>'GF-R'!E6</f>
        <v>551892.72</v>
      </c>
      <c r="E11" s="91"/>
      <c r="F11" s="91">
        <f>'GF-R'!G6</f>
        <v>618249.96</v>
      </c>
      <c r="G11" s="91"/>
      <c r="H11" s="91">
        <f>'GF-R'!Q6</f>
        <v>660499.92000000004</v>
      </c>
      <c r="I11" s="91"/>
      <c r="J11" s="91">
        <f>'GF-R'!W6</f>
        <v>0</v>
      </c>
      <c r="K11" s="91"/>
      <c r="L11" s="91">
        <v>0</v>
      </c>
      <c r="M11" s="91"/>
      <c r="N11" s="91">
        <v>0</v>
      </c>
      <c r="O11" s="91"/>
      <c r="P11" s="91">
        <v>0</v>
      </c>
      <c r="Q11" s="91"/>
      <c r="R11" s="91">
        <v>0</v>
      </c>
      <c r="S11" s="72"/>
      <c r="T11" s="72"/>
      <c r="U11" s="72"/>
    </row>
    <row r="12" spans="1:21" x14ac:dyDescent="0.2">
      <c r="A12" s="73" t="s">
        <v>773</v>
      </c>
      <c r="B12" s="92">
        <f>'GF-R'!C89</f>
        <v>43299.94</v>
      </c>
      <c r="C12" s="92"/>
      <c r="D12" s="92">
        <f>'GF-R'!E89</f>
        <v>3722.36</v>
      </c>
      <c r="E12" s="92"/>
      <c r="F12" s="92">
        <f>'GF-R'!G89</f>
        <v>61974.78</v>
      </c>
      <c r="G12" s="92"/>
      <c r="H12" s="92">
        <f>'GF-R'!Q89</f>
        <v>546977.04</v>
      </c>
      <c r="I12" s="92"/>
      <c r="J12" s="92">
        <f>'GF-R'!W89</f>
        <v>100000</v>
      </c>
      <c r="K12" s="92"/>
      <c r="L12" s="92">
        <v>80000</v>
      </c>
      <c r="M12" s="92"/>
      <c r="N12" s="92">
        <v>75000</v>
      </c>
      <c r="O12" s="92"/>
      <c r="P12" s="92">
        <v>78000</v>
      </c>
      <c r="Q12" s="92"/>
      <c r="R12" s="92">
        <v>82500</v>
      </c>
      <c r="S12" s="72"/>
      <c r="T12" s="72"/>
      <c r="U12" s="72"/>
    </row>
    <row r="13" spans="1:21" x14ac:dyDescent="0.2">
      <c r="A13" s="72" t="s">
        <v>1243</v>
      </c>
      <c r="B13" s="91">
        <f>'GF-R'!C86</f>
        <v>521729.55</v>
      </c>
      <c r="C13" s="91"/>
      <c r="D13" s="91">
        <f>'GF-R'!E86</f>
        <v>455628.03</v>
      </c>
      <c r="E13" s="91"/>
      <c r="F13" s="91">
        <f>'GF-R'!G86</f>
        <v>522035.16</v>
      </c>
      <c r="G13" s="91"/>
      <c r="H13" s="91">
        <f>'GF-R'!Q86</f>
        <v>539681.30000000005</v>
      </c>
      <c r="I13" s="91"/>
      <c r="J13" s="91">
        <f>'GF-R'!W86</f>
        <v>545000</v>
      </c>
      <c r="K13" s="91"/>
      <c r="L13" s="91">
        <v>550000</v>
      </c>
      <c r="M13" s="91"/>
      <c r="N13" s="91">
        <v>563000</v>
      </c>
      <c r="O13" s="91"/>
      <c r="P13" s="91">
        <v>548000</v>
      </c>
      <c r="Q13" s="91"/>
      <c r="R13" s="91">
        <v>525000</v>
      </c>
      <c r="S13" s="72"/>
      <c r="T13" s="72"/>
      <c r="U13" s="72"/>
    </row>
    <row r="14" spans="1:21" x14ac:dyDescent="0.2">
      <c r="A14" s="73" t="s">
        <v>927</v>
      </c>
      <c r="B14" s="92">
        <f>SUM('GF-R'!C75,'GF-R'!C76,'GF-R'!C77,'GF-R'!C78,'GF-R'!C79,'GF-R'!C80)</f>
        <v>513669.82999999996</v>
      </c>
      <c r="C14" s="92"/>
      <c r="D14" s="92">
        <f>SUM('GF-R'!E75,'GF-R'!E76,'GF-R'!E77,'GF-R'!E78,'GF-R'!E79,'GF-R'!E80,'GF-R'!E73,'GF-R'!E74)</f>
        <v>577877.82999999996</v>
      </c>
      <c r="E14" s="92"/>
      <c r="F14" s="92">
        <f>SUM('GF-R'!G75,'GF-R'!G76,'GF-R'!G77,'GF-R'!G78,'GF-R'!G79,'GF-R'!G80,'GF-R'!G73,'GF-R'!G74)</f>
        <v>696859.7699999999</v>
      </c>
      <c r="G14" s="92"/>
      <c r="H14" s="92">
        <f>SUM('GF-R'!Q75,'GF-R'!Q76,'GF-R'!Q77,'GF-R'!Q78,'GF-R'!Q79,'GF-R'!Q80,'GF-R'!Q73,'GF-R'!Q74)</f>
        <v>645592.9</v>
      </c>
      <c r="I14" s="92"/>
      <c r="J14" s="92">
        <f>SUM('GF-R'!W75,'GF-R'!W76,'GF-R'!W77,'GF-R'!W78,'GF-R'!W79,'GF-R'!W80,'GF-R'!W73,'GF-R'!W74)</f>
        <v>719700</v>
      </c>
      <c r="K14" s="92"/>
      <c r="L14" s="92">
        <v>725000</v>
      </c>
      <c r="M14" s="92"/>
      <c r="N14" s="92">
        <v>775000</v>
      </c>
      <c r="O14" s="92"/>
      <c r="P14" s="92">
        <v>803000</v>
      </c>
      <c r="Q14" s="92"/>
      <c r="R14" s="92">
        <v>827000</v>
      </c>
      <c r="S14" s="72"/>
      <c r="T14" s="72"/>
      <c r="U14" s="72"/>
    </row>
    <row r="15" spans="1:21" x14ac:dyDescent="0.2">
      <c r="A15" s="72" t="s">
        <v>1244</v>
      </c>
      <c r="B15" s="91">
        <f>SUM('GF-R'!C9,'GF-R'!C10,'GF-R'!C46)</f>
        <v>68535.069999999992</v>
      </c>
      <c r="C15" s="91"/>
      <c r="D15" s="91">
        <f>SUM('GF-R'!E7,'GF-R'!E9,'GF-R'!E10,'GF-R'!E11,'GF-R'!E22,'GF-R'!E23,'GF-R'!E46)</f>
        <v>266690.09999999998</v>
      </c>
      <c r="E15" s="91"/>
      <c r="F15" s="91">
        <f>SUM('GF-R'!G7,'GF-R'!G9,'GF-R'!G11,'GF-R'!G21,'GF-R'!G22,'GF-R'!G24)</f>
        <v>585090.1399999999</v>
      </c>
      <c r="G15" s="91"/>
      <c r="H15" s="91">
        <f>SUM('GF-R'!Q8,'GF-R'!Q9,'GF-R'!Q24)</f>
        <v>14125.04</v>
      </c>
      <c r="I15" s="91"/>
      <c r="J15" s="91">
        <f>SUM('GF-R'!W8,'GF-R'!W9,'GF-R'!W24)</f>
        <v>63000</v>
      </c>
      <c r="K15" s="91"/>
      <c r="L15" s="91">
        <v>55000</v>
      </c>
      <c r="M15" s="91"/>
      <c r="N15" s="91">
        <v>60000</v>
      </c>
      <c r="O15" s="91"/>
      <c r="P15" s="91">
        <v>63000</v>
      </c>
      <c r="Q15" s="91"/>
      <c r="R15" s="91">
        <v>58000</v>
      </c>
      <c r="S15" s="72"/>
      <c r="T15" s="72"/>
      <c r="U15" s="72"/>
    </row>
    <row r="16" spans="1:21" x14ac:dyDescent="0.2">
      <c r="A16" s="73" t="s">
        <v>1409</v>
      </c>
      <c r="B16" s="92">
        <v>0</v>
      </c>
      <c r="C16" s="92"/>
      <c r="D16" s="92">
        <v>0</v>
      </c>
      <c r="E16" s="92"/>
      <c r="F16" s="92">
        <v>0</v>
      </c>
      <c r="G16" s="92"/>
      <c r="H16" s="92">
        <v>0</v>
      </c>
      <c r="I16" s="92"/>
      <c r="J16" s="92">
        <v>600000</v>
      </c>
      <c r="K16" s="92"/>
      <c r="L16" s="92">
        <v>4470000</v>
      </c>
      <c r="M16" s="92"/>
      <c r="N16" s="92">
        <v>556750</v>
      </c>
      <c r="O16" s="92"/>
      <c r="P16" s="92">
        <v>555000</v>
      </c>
      <c r="Q16" s="92"/>
      <c r="R16" s="92">
        <v>575000</v>
      </c>
      <c r="S16" s="72"/>
      <c r="T16" s="72"/>
      <c r="U16" s="72"/>
    </row>
    <row r="17" spans="1:21" x14ac:dyDescent="0.2">
      <c r="A17" s="72"/>
      <c r="B17" s="96"/>
      <c r="C17" s="91"/>
      <c r="D17" s="96"/>
      <c r="E17" s="91"/>
      <c r="F17" s="96"/>
      <c r="G17" s="91"/>
      <c r="H17" s="96"/>
      <c r="I17" s="91"/>
      <c r="J17" s="96"/>
      <c r="K17" s="91"/>
      <c r="L17" s="96"/>
      <c r="M17" s="91"/>
      <c r="N17" s="96"/>
      <c r="O17" s="91"/>
      <c r="P17" s="96"/>
      <c r="Q17" s="91"/>
      <c r="R17" s="96"/>
      <c r="S17" s="72"/>
      <c r="T17" s="72"/>
      <c r="U17" s="72"/>
    </row>
    <row r="18" spans="1:21" x14ac:dyDescent="0.2">
      <c r="A18" s="74" t="s">
        <v>1118</v>
      </c>
      <c r="B18" s="93">
        <f>SUM(B3:B16)</f>
        <v>9590603.870000001</v>
      </c>
      <c r="C18" s="93"/>
      <c r="D18" s="93">
        <f>SUM(D3:D16)</f>
        <v>10560378.02</v>
      </c>
      <c r="E18" s="93"/>
      <c r="F18" s="93">
        <f>SUM(F3:F16)</f>
        <v>12577709.569999998</v>
      </c>
      <c r="G18" s="93"/>
      <c r="H18" s="93">
        <f>SUM(H3:H16)</f>
        <v>13620907.900000004</v>
      </c>
      <c r="I18" s="93"/>
      <c r="J18" s="93">
        <f>SUM(J3:J16)</f>
        <v>13804836</v>
      </c>
      <c r="K18" s="93"/>
      <c r="L18" s="93">
        <f>SUM(L3:L16)</f>
        <v>18192990</v>
      </c>
      <c r="M18" s="93"/>
      <c r="N18" s="93">
        <f>SUM(N3:N16)</f>
        <v>15067150</v>
      </c>
      <c r="O18" s="93"/>
      <c r="P18" s="93">
        <f>SUM(P3:P16)</f>
        <v>15805500</v>
      </c>
      <c r="Q18" s="93"/>
      <c r="R18" s="93">
        <f>SUM(R3:R16)</f>
        <v>16652000</v>
      </c>
      <c r="S18" s="72"/>
      <c r="T18" s="72"/>
      <c r="U18" s="72"/>
    </row>
    <row r="19" spans="1:21" x14ac:dyDescent="0.2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pans="1:21" ht="18.75" x14ac:dyDescent="0.3">
      <c r="A20" s="128" t="s">
        <v>1245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72"/>
      <c r="T20" s="72"/>
      <c r="U20" s="72"/>
    </row>
    <row r="21" spans="1:21" x14ac:dyDescent="0.2">
      <c r="A21" s="72"/>
      <c r="B21" s="71" t="s">
        <v>1274</v>
      </c>
      <c r="C21" s="71"/>
      <c r="D21" s="71" t="s">
        <v>1275</v>
      </c>
      <c r="E21" s="71"/>
      <c r="F21" s="71" t="s">
        <v>1276</v>
      </c>
      <c r="G21" s="71"/>
      <c r="H21" s="71" t="s">
        <v>1277</v>
      </c>
      <c r="I21" s="71"/>
      <c r="J21" s="71" t="s">
        <v>1278</v>
      </c>
      <c r="K21" s="71"/>
      <c r="L21" s="71" t="s">
        <v>1279</v>
      </c>
      <c r="M21" s="71"/>
      <c r="N21" s="71" t="s">
        <v>1280</v>
      </c>
      <c r="O21" s="71"/>
      <c r="P21" s="71" t="s">
        <v>1281</v>
      </c>
      <c r="Q21" s="71"/>
      <c r="R21" s="71" t="s">
        <v>1282</v>
      </c>
      <c r="S21" s="72"/>
      <c r="T21" s="72"/>
      <c r="U21" s="72"/>
    </row>
    <row r="22" spans="1:21" x14ac:dyDescent="0.2">
      <c r="A22" s="73" t="s">
        <v>1246</v>
      </c>
      <c r="B22" s="92">
        <f>SUM('GF-E ADM'!C14,'GF-E IT'!C12,'GF-E FIRE'!C15,'GF-E POL'!C13,'GF-E AC'!C14,'GF-E DEV'!C13,'GF-E STR'!C13)</f>
        <v>5954998.8599999994</v>
      </c>
      <c r="C22" s="92"/>
      <c r="D22" s="92">
        <f>SUM('GF-E ADM'!E14,'GF-E IT'!E12,'GF-E FIRE'!E15,'GF-E POL'!E13,'GF-E AC'!E14,'GF-E DEV'!E13,'GF-E STR'!E13)</f>
        <v>6389963.4000000004</v>
      </c>
      <c r="E22" s="92"/>
      <c r="F22" s="92">
        <f>SUM('GF-E ADM'!G14,'GF-E IT'!G12,'GF-E FIRE'!G15,'GF-E POL'!G13,'GF-E AC'!G14,'GF-E DEV'!G13,'GF-E STR'!G13)</f>
        <v>6556859.4800000004</v>
      </c>
      <c r="G22" s="92"/>
      <c r="H22" s="92">
        <f>SUM('GF-E ADM'!Q14,'GF-E IT'!Q12,'GF-E FIRE'!Q15,'GF-E POL'!Q13,'GF-E AC'!Q14,'GF-E DEV'!Q13,'GF-E STR'!Q13)</f>
        <v>7565426.1499999994</v>
      </c>
      <c r="I22" s="92"/>
      <c r="J22" s="92">
        <f>SUM('GF-E ADM'!W14,'GF-E IT'!W12,'GF-E FIRE'!W15,'GF-E POL'!W13,'GF-E AC'!W14,'GF-E DEV'!W13,'GF-E STR'!W13)</f>
        <v>7984750</v>
      </c>
      <c r="K22" s="92"/>
      <c r="L22" s="92">
        <v>8338617.3499999996</v>
      </c>
      <c r="M22" s="92"/>
      <c r="N22" s="92">
        <v>9041562.7899999991</v>
      </c>
      <c r="O22" s="92"/>
      <c r="P22" s="92">
        <v>9894182.1600000001</v>
      </c>
      <c r="Q22" s="92"/>
      <c r="R22" s="92">
        <v>10425499.75</v>
      </c>
      <c r="S22" s="72"/>
      <c r="T22" s="72"/>
      <c r="U22" s="72"/>
    </row>
    <row r="23" spans="1:21" x14ac:dyDescent="0.2">
      <c r="A23" s="72" t="s">
        <v>1247</v>
      </c>
      <c r="B23" s="91">
        <f>SUM('GF-E ADM'!C42,'GF-E ADM'!C47,'GF-E ADM'!C79,'GF-E IT'!C20,'GF-E IT'!C24,'GF-E FIRE'!C28,'GF-E FIRE'!C33,'GF-E FIRE'!C43,'GF-E POL'!C25,'GF-E POL'!C31,'GF-E POL'!C41,'GF-E AC'!C22,'GF-E AC'!C26,'GF-E AC'!C32,'GF-E DEV'!C25,'GF-E DEV'!C29,'GF-E DEV'!C39,'GF-E STR'!C20,'GF-E STR'!C25,'GF-E STR'!C41,'GF-E MOW'!C8)</f>
        <v>2594569.6799999997</v>
      </c>
      <c r="C23" s="91"/>
      <c r="D23" s="91">
        <f>SUM('GF-E ADM'!E42,'GF-E ADM'!E47,'GF-E ADM'!E79,'GF-E IT'!E20,'GF-E IT'!E24,'GF-E FIRE'!E28,'GF-E FIRE'!E33,'GF-E FIRE'!E43,'GF-E POL'!E25,'GF-E POL'!E31,'GF-E POL'!E41,'GF-E AC'!E22,'GF-E AC'!E26,'GF-E AC'!E32,'GF-E DEV'!E25,'GF-E DEV'!E29,'GF-E DEV'!E39,'GF-E STR'!E20,'GF-E STR'!E25,'GF-E STR'!E41,'GF-E MOW'!E8)</f>
        <v>3067001.9100000006</v>
      </c>
      <c r="E23" s="91"/>
      <c r="F23" s="91">
        <f>SUM('GF-E ADM'!G42,'GF-E ADM'!G47,'GF-E ADM'!G79,'GF-E IT'!G20,'GF-E IT'!G24,'GF-E FIRE'!G28,'GF-E FIRE'!G33,'GF-E FIRE'!G43,'GF-E POL'!G25,'GF-E POL'!G31,'GF-E POL'!G41,'GF-E AC'!G22,'GF-E AC'!G26,'GF-E AC'!G32,'GF-E DEV'!G25,'GF-E DEV'!G29,'GF-E DEV'!G39,'GF-E STR'!G20,'GF-E STR'!G25,'GF-E STR'!G41,'GF-E MOW'!G8)</f>
        <v>3516435.6500000008</v>
      </c>
      <c r="G23" s="91"/>
      <c r="H23" s="91">
        <f>SUM('GF-E ADM'!Q42,'GF-E ADM'!Q47,'GF-E ADM'!Q79,'GF-E IT'!Q20,'GF-E IT'!Q24,'GF-E FIRE'!Q28,'GF-E FIRE'!Q33,'GF-E FIRE'!Q43,'GF-E POL'!Q25,'GF-E POL'!Q31,'GF-E POL'!Q41,'GF-E AC'!Q22,'GF-E AC'!Q26,'GF-E AC'!Q32,'GF-E DEV'!Q25,'GF-E DEV'!Q29,'GF-E DEV'!Q39,'GF-E STR'!Q20,'GF-E STR'!Q25,'GF-E STR'!Q41,'GF-E MOW'!Q8)</f>
        <v>4665042.6800000006</v>
      </c>
      <c r="I23" s="91"/>
      <c r="J23" s="91">
        <f>SUM('GF-E ADM'!W42,'GF-E ADM'!W47,'GF-E ADM'!W79,'GF-E IT'!W20,'GF-E IT'!W24,'GF-E FIRE'!W28,'GF-E FIRE'!W33,'GF-E FIRE'!W43,'GF-E POL'!W25,'GF-E POL'!W31,'GF-E POL'!W41,'GF-E AC'!W22,'GF-E AC'!W26,'GF-E AC'!W32,'GF-E DEV'!W25,'GF-E DEV'!W29,'GF-E DEV'!W39,'GF-E STR'!W20,'GF-E STR'!W25,'GF-E STR'!W41,'GF-E MOW'!W8)</f>
        <v>4383400</v>
      </c>
      <c r="K23" s="91"/>
      <c r="L23" s="91">
        <v>4659352.32</v>
      </c>
      <c r="M23" s="91"/>
      <c r="N23" s="91">
        <v>4831748.3499999996</v>
      </c>
      <c r="O23" s="91"/>
      <c r="P23" s="91">
        <v>5155475.49</v>
      </c>
      <c r="Q23" s="91"/>
      <c r="R23" s="91">
        <v>5334370.49</v>
      </c>
      <c r="S23" s="72"/>
      <c r="T23" s="72"/>
      <c r="U23" s="72"/>
    </row>
    <row r="24" spans="1:21" x14ac:dyDescent="0.2">
      <c r="A24" s="73" t="s">
        <v>1248</v>
      </c>
      <c r="B24" s="92">
        <f>SUM('GF-E ADM'!C83,'GF-E IT'!C28,'GF-E FIRE'!C49,'GF-E POL'!C47,'GF-E DEV'!C44,'GF-E STR'!C47)</f>
        <v>351768.94</v>
      </c>
      <c r="C24" s="92"/>
      <c r="D24" s="92">
        <f>SUM('GF-E ADM'!E83,'GF-E IT'!E28,'GF-E FIRE'!E49,'GF-E POL'!E47,'GF-E DEV'!E44,'GF-E STR'!E47)</f>
        <v>242125.09</v>
      </c>
      <c r="E24" s="92"/>
      <c r="F24" s="92">
        <f>SUM('GF-E ADM'!G83,'GF-E IT'!G28,'GF-E FIRE'!G49,'GF-E POL'!G47,'GF-E DEV'!G44,'GF-E STR'!G47)</f>
        <v>472258.79000000004</v>
      </c>
      <c r="G24" s="92"/>
      <c r="H24" s="92">
        <f>SUM('GF-E ADM'!Q83,'GF-E IT'!Q28,'GF-E FIRE'!Q49,'GF-E POL'!Q47,'GF-E DEV'!Q44,'GF-E STR'!Q47)</f>
        <v>529395.31000000006</v>
      </c>
      <c r="I24" s="92"/>
      <c r="J24" s="92">
        <f>SUM('GF-E ADM'!W83,'GF-E IT'!W28,'GF-E FIRE'!W49,'GF-E POL'!W47,'GF-E DEV'!W44,'GF-E STR'!W47)</f>
        <v>374000</v>
      </c>
      <c r="K24" s="92"/>
      <c r="L24" s="92">
        <v>530442</v>
      </c>
      <c r="M24" s="92"/>
      <c r="N24" s="92">
        <v>527418.48</v>
      </c>
      <c r="O24" s="92"/>
      <c r="P24" s="92">
        <v>550572.15</v>
      </c>
      <c r="Q24" s="92"/>
      <c r="R24" s="92">
        <v>519574.94</v>
      </c>
      <c r="S24" s="72"/>
      <c r="T24" s="72"/>
      <c r="U24" s="72"/>
    </row>
    <row r="25" spans="1:21" x14ac:dyDescent="0.2">
      <c r="A25" s="72" t="s">
        <v>1262</v>
      </c>
      <c r="B25" s="91">
        <f>SUM('GF-E CAP'!C6)</f>
        <v>908504.64</v>
      </c>
      <c r="C25" s="91"/>
      <c r="D25" s="91">
        <f>SUM('GF-E CAP'!E6)</f>
        <v>39739</v>
      </c>
      <c r="E25" s="91"/>
      <c r="F25" s="91">
        <f>SUM('GF-E CAP'!G6)</f>
        <v>0</v>
      </c>
      <c r="G25" s="91"/>
      <c r="H25" s="91">
        <f>SUM('GF-E CAP'!Q6)</f>
        <v>0</v>
      </c>
      <c r="I25" s="91"/>
      <c r="J25" s="91">
        <v>0</v>
      </c>
      <c r="K25" s="91"/>
      <c r="L25" s="91">
        <v>0</v>
      </c>
      <c r="M25" s="91"/>
      <c r="N25" s="91">
        <v>0</v>
      </c>
      <c r="O25" s="91"/>
      <c r="P25" s="91">
        <v>0</v>
      </c>
      <c r="Q25" s="91"/>
      <c r="R25" s="91">
        <v>0</v>
      </c>
      <c r="S25" s="72"/>
      <c r="T25" s="72"/>
      <c r="U25" s="72"/>
    </row>
    <row r="26" spans="1:21" x14ac:dyDescent="0.2">
      <c r="A26" s="73" t="s">
        <v>1366</v>
      </c>
      <c r="B26" s="92">
        <v>0</v>
      </c>
      <c r="C26" s="92"/>
      <c r="D26" s="92">
        <v>0</v>
      </c>
      <c r="E26" s="92"/>
      <c r="F26" s="92">
        <v>0</v>
      </c>
      <c r="G26" s="92"/>
      <c r="H26" s="92">
        <f>SUM('GF-E CAP'!Q7)</f>
        <v>0</v>
      </c>
      <c r="I26" s="92"/>
      <c r="J26" s="92">
        <v>1062686</v>
      </c>
      <c r="K26" s="92"/>
      <c r="L26" s="92">
        <v>4664578</v>
      </c>
      <c r="M26" s="92"/>
      <c r="N26" s="92">
        <v>666420</v>
      </c>
      <c r="O26" s="92"/>
      <c r="P26" s="92">
        <v>205270</v>
      </c>
      <c r="Q26" s="92"/>
      <c r="R26" s="92">
        <v>372555</v>
      </c>
      <c r="S26" s="72"/>
      <c r="T26" s="72"/>
      <c r="U26" s="72"/>
    </row>
    <row r="27" spans="1:21" x14ac:dyDescent="0.2">
      <c r="A27" s="72"/>
      <c r="B27" s="96"/>
      <c r="C27" s="91"/>
      <c r="D27" s="96"/>
      <c r="E27" s="91"/>
      <c r="F27" s="96"/>
      <c r="G27" s="91"/>
      <c r="H27" s="96"/>
      <c r="I27" s="91"/>
      <c r="J27" s="96"/>
      <c r="K27" s="91"/>
      <c r="L27" s="96"/>
      <c r="M27" s="91"/>
      <c r="N27" s="96"/>
      <c r="O27" s="91"/>
      <c r="P27" s="96"/>
      <c r="Q27" s="91"/>
      <c r="R27" s="96"/>
      <c r="S27" s="72"/>
      <c r="T27" s="72"/>
      <c r="U27" s="72"/>
    </row>
    <row r="28" spans="1:21" x14ac:dyDescent="0.2">
      <c r="A28" s="74" t="s">
        <v>1118</v>
      </c>
      <c r="B28" s="93">
        <f t="shared" ref="B28:R28" si="0">SUM(B22:B26)</f>
        <v>9809842.1199999992</v>
      </c>
      <c r="C28" s="93"/>
      <c r="D28" s="93">
        <f t="shared" si="0"/>
        <v>9738829.4000000004</v>
      </c>
      <c r="E28" s="93"/>
      <c r="F28" s="93">
        <f t="shared" si="0"/>
        <v>10545553.920000002</v>
      </c>
      <c r="G28" s="93"/>
      <c r="H28" s="93">
        <f t="shared" si="0"/>
        <v>12759864.140000001</v>
      </c>
      <c r="I28" s="93"/>
      <c r="J28" s="93">
        <f t="shared" si="0"/>
        <v>13804836</v>
      </c>
      <c r="K28" s="93"/>
      <c r="L28" s="93">
        <f t="shared" si="0"/>
        <v>18192989.670000002</v>
      </c>
      <c r="M28" s="93"/>
      <c r="N28" s="93">
        <f t="shared" si="0"/>
        <v>15067149.619999999</v>
      </c>
      <c r="O28" s="93"/>
      <c r="P28" s="93">
        <f t="shared" si="0"/>
        <v>15805499.800000001</v>
      </c>
      <c r="Q28" s="93"/>
      <c r="R28" s="93">
        <f t="shared" si="0"/>
        <v>16652000.18</v>
      </c>
      <c r="S28" s="72"/>
      <c r="T28" s="72"/>
      <c r="U28" s="72"/>
    </row>
    <row r="29" spans="1:2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 spans="1:2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ht="18.75" x14ac:dyDescent="0.3">
      <c r="A31" s="128" t="s">
        <v>1283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72"/>
      <c r="T31" s="72"/>
      <c r="U31" s="72"/>
    </row>
    <row r="32" spans="1:21" x14ac:dyDescent="0.2">
      <c r="A32" s="72"/>
      <c r="B32" s="71" t="s">
        <v>1274</v>
      </c>
      <c r="C32" s="71"/>
      <c r="D32" s="71" t="s">
        <v>1275</v>
      </c>
      <c r="E32" s="71"/>
      <c r="F32" s="71" t="s">
        <v>1276</v>
      </c>
      <c r="G32" s="71"/>
      <c r="H32" s="71" t="s">
        <v>1277</v>
      </c>
      <c r="I32" s="71"/>
      <c r="J32" s="71" t="s">
        <v>1278</v>
      </c>
      <c r="K32" s="71"/>
      <c r="L32" s="71" t="s">
        <v>1279</v>
      </c>
      <c r="M32" s="71"/>
      <c r="N32" s="71" t="s">
        <v>1280</v>
      </c>
      <c r="O32" s="71"/>
      <c r="P32" s="71" t="s">
        <v>1281</v>
      </c>
      <c r="Q32" s="71"/>
      <c r="R32" s="71" t="s">
        <v>1282</v>
      </c>
      <c r="S32" s="72"/>
      <c r="T32" s="72"/>
      <c r="U32" s="72"/>
    </row>
    <row r="33" spans="1:21" x14ac:dyDescent="0.2">
      <c r="A33" s="73" t="s">
        <v>1263</v>
      </c>
      <c r="B33" s="97">
        <v>3886680.55</v>
      </c>
      <c r="C33" s="97"/>
      <c r="D33" s="97">
        <f>B39</f>
        <v>3667442.3000000017</v>
      </c>
      <c r="E33" s="97"/>
      <c r="F33" s="97">
        <f>D39</f>
        <v>4488990.9200000009</v>
      </c>
      <c r="G33" s="97"/>
      <c r="H33" s="97">
        <f>F39</f>
        <v>6521146.5699999975</v>
      </c>
      <c r="I33" s="97"/>
      <c r="J33" s="97">
        <f>H39</f>
        <v>7382190.330000001</v>
      </c>
      <c r="K33" s="97"/>
      <c r="L33" s="97">
        <f>J39</f>
        <v>8244876.330000001</v>
      </c>
      <c r="M33" s="97"/>
      <c r="N33" s="97">
        <f>L39</f>
        <v>5109454.6599999992</v>
      </c>
      <c r="O33" s="97"/>
      <c r="P33" s="97">
        <f>N39</f>
        <v>5775875.04</v>
      </c>
      <c r="Q33" s="97"/>
      <c r="R33" s="97">
        <f>P39</f>
        <v>5981145.2399999993</v>
      </c>
      <c r="S33" s="72"/>
      <c r="T33" s="72"/>
      <c r="U33" s="72"/>
    </row>
    <row r="34" spans="1:21" x14ac:dyDescent="0.2">
      <c r="A34" s="72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72"/>
      <c r="T34" s="72"/>
      <c r="U34" s="72"/>
    </row>
    <row r="35" spans="1:21" x14ac:dyDescent="0.2">
      <c r="A35" s="73" t="s">
        <v>1249</v>
      </c>
      <c r="B35" s="92">
        <f t="shared" ref="B35:R35" si="1">SUM(B18,-B28)</f>
        <v>-219238.24999999814</v>
      </c>
      <c r="C35" s="92"/>
      <c r="D35" s="92">
        <f t="shared" si="1"/>
        <v>821548.61999999918</v>
      </c>
      <c r="E35" s="92"/>
      <c r="F35" s="92">
        <f t="shared" si="1"/>
        <v>2032155.6499999966</v>
      </c>
      <c r="G35" s="92"/>
      <c r="H35" s="92">
        <f t="shared" si="1"/>
        <v>861043.7600000035</v>
      </c>
      <c r="I35" s="92"/>
      <c r="J35" s="92">
        <f t="shared" si="1"/>
        <v>0</v>
      </c>
      <c r="K35" s="92"/>
      <c r="L35" s="92">
        <f t="shared" si="1"/>
        <v>0.32999999821186066</v>
      </c>
      <c r="M35" s="92"/>
      <c r="N35" s="92">
        <f t="shared" si="1"/>
        <v>0.38000000081956387</v>
      </c>
      <c r="O35" s="92"/>
      <c r="P35" s="92">
        <f t="shared" si="1"/>
        <v>0.19999999925494194</v>
      </c>
      <c r="Q35" s="92"/>
      <c r="R35" s="92">
        <f t="shared" si="1"/>
        <v>-0.17999999970197678</v>
      </c>
      <c r="S35" s="72"/>
      <c r="T35" s="72"/>
      <c r="U35" s="72"/>
    </row>
    <row r="36" spans="1:21" x14ac:dyDescent="0.2">
      <c r="A36" s="72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72"/>
      <c r="T36" s="72"/>
      <c r="U36" s="72"/>
    </row>
    <row r="37" spans="1:21" x14ac:dyDescent="0.2">
      <c r="A37" s="72" t="s">
        <v>1448</v>
      </c>
      <c r="B37" s="91">
        <v>0</v>
      </c>
      <c r="C37" s="91"/>
      <c r="D37" s="91">
        <v>0</v>
      </c>
      <c r="E37" s="91"/>
      <c r="F37" s="91">
        <v>0</v>
      </c>
      <c r="G37" s="91"/>
      <c r="H37" s="91">
        <v>0</v>
      </c>
      <c r="I37" s="91"/>
      <c r="J37" s="91">
        <v>862686</v>
      </c>
      <c r="K37" s="91"/>
      <c r="L37" s="91">
        <v>-3135422</v>
      </c>
      <c r="M37" s="91"/>
      <c r="N37" s="91">
        <v>666420</v>
      </c>
      <c r="O37" s="91"/>
      <c r="P37" s="91">
        <v>205270</v>
      </c>
      <c r="Q37" s="91"/>
      <c r="R37" s="91">
        <v>372555</v>
      </c>
      <c r="S37" s="72"/>
      <c r="T37" s="72"/>
      <c r="U37" s="72"/>
    </row>
    <row r="38" spans="1:21" x14ac:dyDescent="0.2">
      <c r="A38" s="72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72"/>
      <c r="T38" s="72"/>
      <c r="U38" s="72"/>
    </row>
    <row r="39" spans="1:21" x14ac:dyDescent="0.2">
      <c r="A39" s="98" t="s">
        <v>1250</v>
      </c>
      <c r="B39" s="99">
        <f>SUM(B33,B35,B37)</f>
        <v>3667442.3000000017</v>
      </c>
      <c r="C39" s="99"/>
      <c r="D39" s="99">
        <f>SUM(D33,D35,D37)</f>
        <v>4488990.9200000009</v>
      </c>
      <c r="E39" s="99"/>
      <c r="F39" s="99">
        <f>SUM(F33,F35,F37)</f>
        <v>6521146.5699999975</v>
      </c>
      <c r="G39" s="99"/>
      <c r="H39" s="99">
        <f>SUM(H33,H35,H37)</f>
        <v>7382190.330000001</v>
      </c>
      <c r="I39" s="99"/>
      <c r="J39" s="99">
        <f>SUM(J33,J35,J37)</f>
        <v>8244876.330000001</v>
      </c>
      <c r="K39" s="99"/>
      <c r="L39" s="99">
        <f>SUM(L33,L35,L37)</f>
        <v>5109454.6599999992</v>
      </c>
      <c r="M39" s="99"/>
      <c r="N39" s="99">
        <f>SUM(N33,N35,N37)</f>
        <v>5775875.04</v>
      </c>
      <c r="O39" s="99"/>
      <c r="P39" s="99">
        <f>SUM(P33,P35,P37)</f>
        <v>5981145.2399999993</v>
      </c>
      <c r="Q39" s="99"/>
      <c r="R39" s="99">
        <f>SUM(R33,R35,R37)</f>
        <v>6353700.0599999996</v>
      </c>
      <c r="S39" s="72"/>
      <c r="T39" s="72"/>
      <c r="U39" s="72"/>
    </row>
    <row r="40" spans="1:21" ht="15" x14ac:dyDescent="0.35">
      <c r="A40" s="74"/>
      <c r="B40" s="93"/>
      <c r="C40" s="93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72"/>
      <c r="T40" s="72"/>
      <c r="U40" s="72"/>
    </row>
    <row r="41" spans="1:21" ht="15" x14ac:dyDescent="0.35">
      <c r="A41" s="102" t="s">
        <v>1300</v>
      </c>
      <c r="B41" s="93"/>
      <c r="C41" s="93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72"/>
      <c r="T41" s="72"/>
      <c r="U41" s="72"/>
    </row>
    <row r="42" spans="1:21" x14ac:dyDescent="0.2">
      <c r="A42" s="100" t="s">
        <v>1264</v>
      </c>
      <c r="B42" s="101">
        <f>IF(PRODUCT(B28,0.25)&lt;2500000,2500000,PRODUCT(B28,0.25))</f>
        <v>2500000</v>
      </c>
      <c r="C42" s="101"/>
      <c r="D42" s="101">
        <f>IF(PRODUCT(D28,0.25)&lt;2500000,2500000,PRODUCT(D28,0.25))</f>
        <v>2500000</v>
      </c>
      <c r="E42" s="101"/>
      <c r="F42" s="101">
        <f>IF(PRODUCT(F28,0.25)&lt;2500000,2500000,PRODUCT(F28,0.25))</f>
        <v>2636388.4800000004</v>
      </c>
      <c r="G42" s="101"/>
      <c r="H42" s="101">
        <f>IF(PRODUCT(H28,0.25)&lt;2500000,2500000,PRODUCT(H28,0.25))</f>
        <v>3189966.0350000001</v>
      </c>
      <c r="I42" s="101"/>
      <c r="J42" s="101">
        <f>IF(PRODUCT(J28,0.25)&lt;2500000,2500000,PRODUCT(J28,0.25))</f>
        <v>3451209</v>
      </c>
      <c r="K42" s="101"/>
      <c r="L42" s="101">
        <f>IF(PRODUCT(L28,0.25)&lt;2500000,2500000,PRODUCT(L28,0.25))</f>
        <v>4548247.4175000004</v>
      </c>
      <c r="M42" s="101"/>
      <c r="N42" s="101">
        <f>IF(PRODUCT(N28,0.25)&lt;2500000,2500000,PRODUCT(N28,0.25))</f>
        <v>3766787.4049999998</v>
      </c>
      <c r="O42" s="101"/>
      <c r="P42" s="101">
        <f>IF(PRODUCT(P28,0.25)&lt;2500000,2500000,PRODUCT(P28,0.25))</f>
        <v>3951374.95</v>
      </c>
      <c r="Q42" s="101"/>
      <c r="R42" s="101">
        <f>IF(PRODUCT(R28,0.25)&lt;2500000,2500000,PRODUCT(R28,0.25))</f>
        <v>4163000.0449999999</v>
      </c>
      <c r="S42" s="72"/>
      <c r="T42" s="72"/>
      <c r="U42" s="72"/>
    </row>
    <row r="43" spans="1:21" x14ac:dyDescent="0.2">
      <c r="A43" s="102" t="s">
        <v>1265</v>
      </c>
      <c r="B43" s="103">
        <v>42007.81</v>
      </c>
      <c r="C43" s="103"/>
      <c r="D43" s="103">
        <v>64829.37</v>
      </c>
      <c r="E43" s="103"/>
      <c r="F43" s="103">
        <v>48247.33</v>
      </c>
      <c r="G43" s="103"/>
      <c r="H43" s="103">
        <v>5000</v>
      </c>
      <c r="I43" s="103"/>
      <c r="J43" s="103">
        <v>0</v>
      </c>
      <c r="K43" s="103"/>
      <c r="L43" s="103">
        <v>0</v>
      </c>
      <c r="M43" s="103"/>
      <c r="N43" s="103">
        <v>0</v>
      </c>
      <c r="O43" s="103"/>
      <c r="P43" s="103">
        <v>0</v>
      </c>
      <c r="Q43" s="103"/>
      <c r="R43" s="103">
        <v>0</v>
      </c>
      <c r="S43" s="72"/>
      <c r="T43" s="72"/>
      <c r="U43" s="72"/>
    </row>
    <row r="44" spans="1:21" x14ac:dyDescent="0.2">
      <c r="A44" s="100" t="s">
        <v>1266</v>
      </c>
      <c r="B44" s="101">
        <v>35372.400000000001</v>
      </c>
      <c r="C44" s="101"/>
      <c r="D44" s="101">
        <v>35372.400000000001</v>
      </c>
      <c r="E44" s="101"/>
      <c r="F44" s="101">
        <v>35372.400000000001</v>
      </c>
      <c r="G44" s="101"/>
      <c r="H44" s="101">
        <v>35372.400000000001</v>
      </c>
      <c r="I44" s="101"/>
      <c r="J44" s="101">
        <v>25372</v>
      </c>
      <c r="K44" s="101"/>
      <c r="L44" s="101">
        <v>25372</v>
      </c>
      <c r="M44" s="101"/>
      <c r="N44" s="101">
        <v>25372</v>
      </c>
      <c r="O44" s="101"/>
      <c r="P44" s="101">
        <v>25372</v>
      </c>
      <c r="Q44" s="101"/>
      <c r="R44" s="101">
        <v>25372</v>
      </c>
      <c r="S44" s="72"/>
      <c r="T44" s="72"/>
      <c r="U44" s="72"/>
    </row>
    <row r="45" spans="1:21" x14ac:dyDescent="0.2">
      <c r="A45" s="102" t="s">
        <v>1267</v>
      </c>
      <c r="B45" s="103">
        <v>0</v>
      </c>
      <c r="C45" s="103"/>
      <c r="D45" s="103">
        <v>0</v>
      </c>
      <c r="E45" s="103"/>
      <c r="F45" s="103">
        <v>500000</v>
      </c>
      <c r="G45" s="103"/>
      <c r="H45" s="103">
        <v>3900000</v>
      </c>
      <c r="I45" s="103"/>
      <c r="J45" s="103">
        <v>3900000</v>
      </c>
      <c r="K45" s="103"/>
      <c r="L45" s="103">
        <v>0</v>
      </c>
      <c r="M45" s="103"/>
      <c r="N45" s="103">
        <v>0</v>
      </c>
      <c r="O45" s="103"/>
      <c r="P45" s="103">
        <v>0</v>
      </c>
      <c r="Q45" s="103"/>
      <c r="R45" s="103">
        <v>0</v>
      </c>
      <c r="S45" s="72"/>
      <c r="T45" s="72"/>
      <c r="U45" s="72"/>
    </row>
    <row r="46" spans="1:21" x14ac:dyDescent="0.2">
      <c r="A46" s="100" t="s">
        <v>1268</v>
      </c>
      <c r="B46" s="101">
        <f>SUM(B39,-B42,-B43,-B44,-B45)</f>
        <v>1090062.0900000017</v>
      </c>
      <c r="C46" s="101"/>
      <c r="D46" s="101">
        <f>SUM(D39,-D42,-D43,-D44,-D45)</f>
        <v>1888789.1500000008</v>
      </c>
      <c r="E46" s="101"/>
      <c r="F46" s="101">
        <f>SUM(F39,-F42,-F43,-F44,-F45)</f>
        <v>3301138.3599999971</v>
      </c>
      <c r="G46" s="101"/>
      <c r="H46" s="101">
        <f>SUM(H39,-H42,-H43,-H44,-H45)</f>
        <v>251851.89500000095</v>
      </c>
      <c r="I46" s="101"/>
      <c r="J46" s="101">
        <f>SUM(J39,-J42,-J43,-J44,-J45)</f>
        <v>868295.33000000101</v>
      </c>
      <c r="K46" s="101"/>
      <c r="L46" s="101">
        <f>SUM(L39,-L42,-L43,-L44,-L45)</f>
        <v>535835.24249999877</v>
      </c>
      <c r="M46" s="101"/>
      <c r="N46" s="101">
        <f>SUM(N39,-N42,-N43,-N44,-N45)</f>
        <v>1983715.6350000002</v>
      </c>
      <c r="O46" s="101"/>
      <c r="P46" s="101">
        <f>SUM(P39,-P42,-P43,-P44,-P45)</f>
        <v>2004398.2899999991</v>
      </c>
      <c r="Q46" s="101"/>
      <c r="R46" s="101">
        <f>SUM(R39,-R42,-R43,-R44,-R45)</f>
        <v>2165328.0149999997</v>
      </c>
      <c r="S46" s="72"/>
      <c r="T46" s="72"/>
      <c r="U46" s="72"/>
    </row>
    <row r="47" spans="1:21" x14ac:dyDescent="0.2">
      <c r="A47" s="72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2"/>
      <c r="T47" s="72"/>
      <c r="U47" s="72"/>
    </row>
    <row r="48" spans="1:21" x14ac:dyDescent="0.2">
      <c r="A48" s="72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2"/>
      <c r="T48" s="72"/>
      <c r="U48" s="72"/>
    </row>
    <row r="49" spans="1:21" x14ac:dyDescent="0.2">
      <c r="A49" s="74" t="s">
        <v>1251</v>
      </c>
      <c r="B49" s="71" t="s">
        <v>1273</v>
      </c>
      <c r="C49" s="71"/>
      <c r="D49" s="71" t="s">
        <v>1273</v>
      </c>
      <c r="E49" s="71"/>
      <c r="F49" s="71" t="s">
        <v>1273</v>
      </c>
      <c r="G49" s="71"/>
      <c r="H49" s="71" t="s">
        <v>1273</v>
      </c>
      <c r="I49" s="71"/>
      <c r="J49" s="71" t="s">
        <v>1455</v>
      </c>
      <c r="K49" s="71"/>
      <c r="L49" s="71" t="s">
        <v>1273</v>
      </c>
      <c r="M49" s="71"/>
      <c r="N49" s="71" t="s">
        <v>1273</v>
      </c>
      <c r="O49" s="71"/>
      <c r="P49" s="71" t="s">
        <v>1273</v>
      </c>
      <c r="Q49" s="71"/>
      <c r="R49" s="71" t="s">
        <v>1273</v>
      </c>
      <c r="S49" s="72"/>
      <c r="T49" s="72"/>
      <c r="U49" s="72"/>
    </row>
    <row r="50" spans="1:21" x14ac:dyDescent="0.2">
      <c r="A50" s="74"/>
      <c r="B50" s="74"/>
      <c r="C50" s="74"/>
      <c r="D50" s="72"/>
      <c r="E50" s="72"/>
      <c r="F50" s="72"/>
      <c r="G50" s="72"/>
      <c r="H50" s="72"/>
      <c r="I50" s="72"/>
      <c r="J50" s="74"/>
      <c r="K50" s="74"/>
      <c r="L50" s="74"/>
      <c r="M50" s="74"/>
      <c r="N50" s="74"/>
      <c r="O50" s="74"/>
      <c r="P50" s="74"/>
      <c r="Q50" s="74"/>
      <c r="R50" s="74"/>
      <c r="S50" s="72"/>
      <c r="T50" s="72"/>
      <c r="U50" s="72"/>
    </row>
    <row r="51" spans="1:2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</row>
    <row r="52" spans="1:21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</row>
    <row r="53" spans="1:2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</row>
    <row r="54" spans="1:21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</row>
    <row r="55" spans="1:21" x14ac:dyDescent="0.2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</row>
    <row r="56" spans="1:21" x14ac:dyDescent="0.2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</row>
    <row r="57" spans="1:21" x14ac:dyDescent="0.2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</row>
    <row r="58" spans="1:21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</row>
  </sheetData>
  <mergeCells count="3">
    <mergeCell ref="A1:R1"/>
    <mergeCell ref="A20:R20"/>
    <mergeCell ref="A31:R31"/>
  </mergeCells>
  <pageMargins left="0.25" right="0.25" top="0.75" bottom="0.75" header="0.3" footer="0.3"/>
  <pageSetup scale="7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1DAE-9B57-45D1-B8D1-C085316B265F}">
  <sheetPr>
    <tabColor rgb="FF92D050"/>
  </sheetPr>
  <dimension ref="A1:AJ9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829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1328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5" t="s">
        <v>809</v>
      </c>
      <c r="B6" s="56" t="s">
        <v>256</v>
      </c>
      <c r="C6" s="77">
        <v>0</v>
      </c>
      <c r="E6" s="77">
        <v>0</v>
      </c>
      <c r="G6" s="77">
        <v>0</v>
      </c>
      <c r="I6" s="77">
        <v>0</v>
      </c>
      <c r="K6" s="77">
        <v>0</v>
      </c>
      <c r="M6" s="77">
        <v>0</v>
      </c>
      <c r="O6" s="77">
        <f>PRODUCT(M6,0/12)</f>
        <v>0</v>
      </c>
      <c r="Q6" s="77">
        <f>SUM(M6,O6)</f>
        <v>0</v>
      </c>
      <c r="S6" s="77">
        <v>0</v>
      </c>
      <c r="U6" s="77">
        <v>0</v>
      </c>
      <c r="W6" s="77">
        <v>0</v>
      </c>
      <c r="Y6" s="77">
        <f>SUM(W6,-I6)</f>
        <v>0</v>
      </c>
      <c r="Z6" s="57"/>
      <c r="AA6" s="58" t="str">
        <f>IF(W6=0,"N/A",PRODUCT(Y6,1/I6))</f>
        <v>N/A</v>
      </c>
      <c r="AB6" s="57"/>
      <c r="AC6" s="77">
        <f>SUM(W6,-Q6)</f>
        <v>0</v>
      </c>
      <c r="AD6" s="57"/>
      <c r="AE6" s="58" t="str">
        <f>IF(W6=0,"N/A",PRODUCT(AC6,1/Q6))</f>
        <v>N/A</v>
      </c>
      <c r="AF6" s="57"/>
      <c r="AG6" s="57"/>
      <c r="AH6" s="57"/>
      <c r="AI6" s="57"/>
      <c r="AJ6" s="57"/>
    </row>
    <row r="7" spans="1:36" ht="12.75" customHeight="1" x14ac:dyDescent="0.2">
      <c r="A7" s="59" t="s">
        <v>815</v>
      </c>
      <c r="B7" s="60" t="s">
        <v>816</v>
      </c>
      <c r="C7" s="79">
        <v>857062</v>
      </c>
      <c r="D7" s="80"/>
      <c r="E7" s="79">
        <v>0</v>
      </c>
      <c r="F7" s="80"/>
      <c r="G7" s="79">
        <v>150000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f>PRODUCT(M7,0/12)</f>
        <v>0</v>
      </c>
      <c r="P7" s="79"/>
      <c r="Q7" s="79">
        <f>SUM(M7,O7)</f>
        <v>0</v>
      </c>
      <c r="R7" s="79"/>
      <c r="S7" s="79">
        <v>0</v>
      </c>
      <c r="T7" s="79"/>
      <c r="U7" s="79">
        <v>0</v>
      </c>
      <c r="V7" s="79"/>
      <c r="W7" s="79">
        <v>0</v>
      </c>
      <c r="X7" s="79"/>
      <c r="Y7" s="79">
        <f>SUM(W7,-I7)</f>
        <v>0</v>
      </c>
      <c r="Z7" s="62"/>
      <c r="AA7" s="63" t="str">
        <f>IF(W7=0,"N/A",PRODUCT(Y7,1/I7))</f>
        <v>N/A</v>
      </c>
      <c r="AB7" s="62"/>
      <c r="AC7" s="79">
        <f>SUM(W7,-Q7)</f>
        <v>0</v>
      </c>
      <c r="AD7" s="62"/>
      <c r="AE7" s="63" t="str">
        <f>IF(W7=0,"N/A",PRODUCT(AC7,1/Q7))</f>
        <v>N/A</v>
      </c>
      <c r="AF7" s="57"/>
      <c r="AG7" s="57"/>
      <c r="AH7" s="57"/>
      <c r="AI7" s="57"/>
      <c r="AJ7" s="57"/>
    </row>
    <row r="8" spans="1:36" ht="12.75" customHeight="1" x14ac:dyDescent="0.2">
      <c r="A8" s="64" t="s">
        <v>1329</v>
      </c>
      <c r="C8" s="81">
        <f>SUM(C6:C7)</f>
        <v>857062</v>
      </c>
      <c r="E8" s="81">
        <f>SUM(E6:E7)</f>
        <v>0</v>
      </c>
      <c r="G8" s="81">
        <f>SUM(G6:G7)</f>
        <v>150000</v>
      </c>
      <c r="I8" s="81">
        <f>SUM(I6:I7)</f>
        <v>0</v>
      </c>
      <c r="K8" s="81">
        <f>SUM(K6:K7)</f>
        <v>0</v>
      </c>
      <c r="M8" s="81">
        <f>SUM(M6:M7)</f>
        <v>0</v>
      </c>
      <c r="O8" s="81">
        <f>SUM(O6:O7)</f>
        <v>0</v>
      </c>
      <c r="Q8" s="81">
        <f>SUM(Q6:Q7)</f>
        <v>0</v>
      </c>
      <c r="S8" s="81">
        <f>SUM(S6:S7)</f>
        <v>0</v>
      </c>
      <c r="U8" s="81">
        <f>SUM(U6:U7)</f>
        <v>0</v>
      </c>
      <c r="W8" s="81">
        <f>SUM(W6:W7)</f>
        <v>0</v>
      </c>
      <c r="Y8" s="81">
        <f>SUM(Y6:Y7)</f>
        <v>0</v>
      </c>
      <c r="Z8" s="57"/>
      <c r="AA8" s="65" t="str">
        <f>IF(W8=0,"N/A",PRODUCT(Y8,1/I8))</f>
        <v>N/A</v>
      </c>
      <c r="AB8" s="57"/>
      <c r="AC8" s="81">
        <f>SUM(AC6:AC7)</f>
        <v>0</v>
      </c>
      <c r="AD8" s="57"/>
      <c r="AE8" s="65" t="str">
        <f>IF(W8=0,"N/A",PRODUCT(AC8,1/Q8))</f>
        <v>N/A</v>
      </c>
      <c r="AF8" s="57"/>
      <c r="AG8" s="57"/>
      <c r="AH8" s="57"/>
      <c r="AI8" s="57"/>
      <c r="AJ8" s="57"/>
    </row>
    <row r="9" spans="1:36" ht="12.75" customHeight="1" x14ac:dyDescent="0.2">
      <c r="Z9" s="57"/>
      <c r="AB9" s="57"/>
      <c r="AD9" s="57"/>
      <c r="AF9" s="57"/>
      <c r="AG9" s="57"/>
      <c r="AH9" s="57"/>
      <c r="AI9" s="57"/>
      <c r="AJ9" s="57"/>
    </row>
    <row r="10" spans="1:36" ht="12.75" customHeight="1" x14ac:dyDescent="0.2">
      <c r="A10" s="54" t="s">
        <v>1344</v>
      </c>
      <c r="Z10" s="57"/>
      <c r="AB10" s="57"/>
      <c r="AD10" s="57"/>
      <c r="AF10" s="57"/>
      <c r="AG10" s="57"/>
      <c r="AH10" s="57"/>
      <c r="AI10" s="57"/>
      <c r="AJ10" s="57"/>
    </row>
    <row r="11" spans="1:36" ht="12.75" customHeight="1" x14ac:dyDescent="0.2">
      <c r="A11" s="55" t="s">
        <v>810</v>
      </c>
      <c r="B11" s="56" t="s">
        <v>947</v>
      </c>
      <c r="C11" s="77">
        <v>1945.54</v>
      </c>
      <c r="E11" s="77">
        <v>0</v>
      </c>
      <c r="G11" s="77">
        <v>0</v>
      </c>
      <c r="I11" s="77">
        <v>0</v>
      </c>
      <c r="K11" s="77">
        <v>0</v>
      </c>
      <c r="M11" s="77">
        <v>0</v>
      </c>
      <c r="O11" s="77">
        <f>PRODUCT(M11,0/12)</f>
        <v>0</v>
      </c>
      <c r="Q11" s="77">
        <f>SUM(M11,O11)</f>
        <v>0</v>
      </c>
      <c r="S11" s="77">
        <v>0</v>
      </c>
      <c r="U11" s="77">
        <v>0</v>
      </c>
      <c r="W11" s="77">
        <v>0</v>
      </c>
      <c r="Y11" s="77">
        <f>SUM(W11,-I11)</f>
        <v>0</v>
      </c>
      <c r="Z11" s="57"/>
      <c r="AA11" s="58" t="str">
        <f>IF(W11=0,"N/A",PRODUCT(Y11,1/I11))</f>
        <v>N/A</v>
      </c>
      <c r="AB11" s="57"/>
      <c r="AC11" s="77">
        <f>SUM(W11,-Q11)</f>
        <v>0</v>
      </c>
      <c r="AD11" s="57"/>
      <c r="AE11" s="58" t="str">
        <f>IF(W11=0,"N/A",PRODUCT(AC11,1/Q11))</f>
        <v>N/A</v>
      </c>
      <c r="AF11" s="57"/>
      <c r="AG11" s="57"/>
      <c r="AH11" s="57"/>
      <c r="AI11" s="57"/>
      <c r="AJ11" s="57"/>
    </row>
    <row r="12" spans="1:36" ht="12.75" customHeight="1" x14ac:dyDescent="0.2">
      <c r="A12" s="59" t="s">
        <v>812</v>
      </c>
      <c r="B12" s="60" t="s">
        <v>613</v>
      </c>
      <c r="C12" s="79">
        <v>0</v>
      </c>
      <c r="D12" s="80"/>
      <c r="E12" s="79">
        <v>2107.21</v>
      </c>
      <c r="F12" s="80"/>
      <c r="G12" s="79">
        <v>8293.25</v>
      </c>
      <c r="H12" s="79"/>
      <c r="I12" s="79">
        <v>0</v>
      </c>
      <c r="J12" s="79"/>
      <c r="K12" s="79">
        <v>0</v>
      </c>
      <c r="L12" s="79"/>
      <c r="M12" s="79">
        <v>322199.46999999997</v>
      </c>
      <c r="N12" s="79"/>
      <c r="O12" s="79">
        <f>PRODUCT(M12,0/12)</f>
        <v>0</v>
      </c>
      <c r="P12" s="79"/>
      <c r="Q12" s="79">
        <f>SUM(M12,O12)</f>
        <v>322199.46999999997</v>
      </c>
      <c r="R12" s="79"/>
      <c r="S12" s="79">
        <v>45000</v>
      </c>
      <c r="T12" s="79"/>
      <c r="U12" s="79">
        <v>45000</v>
      </c>
      <c r="V12" s="79"/>
      <c r="W12" s="79">
        <v>45000</v>
      </c>
      <c r="X12" s="79"/>
      <c r="Y12" s="79">
        <f>SUM(W12,-I12)</f>
        <v>45000</v>
      </c>
      <c r="Z12" s="62"/>
      <c r="AA12" s="63" t="e">
        <f>IF(W12=0,"N/A",PRODUCT(Y12,1/I12))</f>
        <v>#DIV/0!</v>
      </c>
      <c r="AB12" s="62"/>
      <c r="AC12" s="79">
        <f>SUM(W12,-Q12)</f>
        <v>-277199.46999999997</v>
      </c>
      <c r="AD12" s="62"/>
      <c r="AE12" s="63">
        <f>IF(W12=0,"N/A",PRODUCT(AC12,1/Q12))</f>
        <v>-0.86033496578998092</v>
      </c>
      <c r="AF12" s="57"/>
      <c r="AG12" s="57"/>
      <c r="AH12" s="57"/>
      <c r="AI12" s="57"/>
      <c r="AJ12" s="57"/>
    </row>
    <row r="13" spans="1:36" ht="12.75" customHeight="1" x14ac:dyDescent="0.2">
      <c r="A13" s="64" t="s">
        <v>1345</v>
      </c>
      <c r="C13" s="81">
        <f>SUM(C11:C12)</f>
        <v>1945.54</v>
      </c>
      <c r="E13" s="81">
        <f>SUM(E11:E12)</f>
        <v>2107.21</v>
      </c>
      <c r="G13" s="81">
        <f>SUM(G11:G12)</f>
        <v>8293.25</v>
      </c>
      <c r="I13" s="81">
        <f>SUM(I11:I12)</f>
        <v>0</v>
      </c>
      <c r="K13" s="81">
        <f>SUM(K11:K12)</f>
        <v>0</v>
      </c>
      <c r="M13" s="81">
        <f>SUM(M11:M12)</f>
        <v>322199.46999999997</v>
      </c>
      <c r="O13" s="81">
        <f>SUM(O11:O12)</f>
        <v>0</v>
      </c>
      <c r="Q13" s="81">
        <f>SUM(Q11:Q12)</f>
        <v>322199.46999999997</v>
      </c>
      <c r="S13" s="81">
        <f>SUM(S11:S12)</f>
        <v>45000</v>
      </c>
      <c r="U13" s="81">
        <f>SUM(U11:U12)</f>
        <v>45000</v>
      </c>
      <c r="W13" s="81">
        <f>SUM(W11:W12)</f>
        <v>45000</v>
      </c>
      <c r="Y13" s="81">
        <f>SUM(Y11:Y12)</f>
        <v>45000</v>
      </c>
      <c r="Z13" s="57"/>
      <c r="AA13" s="65" t="e">
        <f>IF(W13=0,"N/A",PRODUCT(Y13,1/I13))</f>
        <v>#DIV/0!</v>
      </c>
      <c r="AB13" s="57"/>
      <c r="AC13" s="81">
        <f>SUM(AC11:AC12)</f>
        <v>-277199.46999999997</v>
      </c>
      <c r="AD13" s="57"/>
      <c r="AE13" s="65">
        <f>IF(W13=0,"N/A",PRODUCT(AC13,1/Q13))</f>
        <v>-0.86033496578998092</v>
      </c>
      <c r="AF13" s="57"/>
      <c r="AG13" s="57"/>
      <c r="AH13" s="57"/>
      <c r="AI13" s="57"/>
      <c r="AJ13" s="57"/>
    </row>
    <row r="14" spans="1:36" ht="12.75" customHeight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x14ac:dyDescent="0.2">
      <c r="A15" s="54" t="s">
        <v>1361</v>
      </c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A16" s="55" t="s">
        <v>813</v>
      </c>
      <c r="B16" s="56" t="s">
        <v>597</v>
      </c>
      <c r="C16" s="77">
        <v>0</v>
      </c>
      <c r="E16" s="77">
        <v>3925000.04</v>
      </c>
      <c r="G16" s="77">
        <v>0</v>
      </c>
      <c r="I16" s="77">
        <v>4100000</v>
      </c>
      <c r="K16" s="77">
        <v>4100000</v>
      </c>
      <c r="M16" s="77">
        <v>11845000</v>
      </c>
      <c r="O16" s="77">
        <v>0</v>
      </c>
      <c r="Q16" s="77">
        <f>SUM(M16,O16)</f>
        <v>11845000</v>
      </c>
      <c r="S16" s="77">
        <v>0</v>
      </c>
      <c r="W16" s="77">
        <v>9000000</v>
      </c>
      <c r="Y16" s="77">
        <f>SUM(W16,-I16)</f>
        <v>4900000</v>
      </c>
      <c r="Z16" s="57"/>
      <c r="AA16" s="58">
        <f>IF(W16=0,"N/A",PRODUCT(Y16,1/I16))</f>
        <v>1.1951219512195121</v>
      </c>
      <c r="AB16" s="57"/>
      <c r="AC16" s="77">
        <f>SUM(W16,-Q16)</f>
        <v>-2845000</v>
      </c>
      <c r="AD16" s="57"/>
      <c r="AE16" s="58">
        <f>IF(W16=0,"N/A",PRODUCT(AC16,1/Q16))</f>
        <v>-0.24018573237653018</v>
      </c>
      <c r="AF16" s="57"/>
      <c r="AG16" s="57"/>
      <c r="AH16" s="57"/>
      <c r="AI16" s="57"/>
      <c r="AJ16" s="57"/>
    </row>
    <row r="17" spans="1:36" ht="12.75" customHeight="1" x14ac:dyDescent="0.2">
      <c r="A17" s="59" t="s">
        <v>814</v>
      </c>
      <c r="B17" s="60" t="s">
        <v>779</v>
      </c>
      <c r="C17" s="79">
        <v>0</v>
      </c>
      <c r="D17" s="80"/>
      <c r="E17" s="79">
        <v>197343.2</v>
      </c>
      <c r="F17" s="80"/>
      <c r="G17" s="79">
        <v>0</v>
      </c>
      <c r="H17" s="79"/>
      <c r="I17" s="79">
        <v>150000</v>
      </c>
      <c r="J17" s="79"/>
      <c r="K17" s="79">
        <v>150000</v>
      </c>
      <c r="L17" s="79"/>
      <c r="M17" s="79">
        <v>604971.94999999995</v>
      </c>
      <c r="N17" s="79"/>
      <c r="O17" s="79">
        <v>0</v>
      </c>
      <c r="P17" s="79"/>
      <c r="Q17" s="79">
        <f>SUM(M17,O17)</f>
        <v>604971.94999999995</v>
      </c>
      <c r="R17" s="79"/>
      <c r="S17" s="79">
        <v>0</v>
      </c>
      <c r="T17" s="79"/>
      <c r="U17" s="79">
        <v>0</v>
      </c>
      <c r="V17" s="79"/>
      <c r="W17" s="79">
        <v>0</v>
      </c>
      <c r="X17" s="79"/>
      <c r="Y17" s="79">
        <f>SUM(W17,-I17)</f>
        <v>-150000</v>
      </c>
      <c r="Z17" s="62"/>
      <c r="AA17" s="63" t="str">
        <f>IF(W17=0,"N/A",PRODUCT(Y17,1/I17))</f>
        <v>N/A</v>
      </c>
      <c r="AB17" s="62"/>
      <c r="AC17" s="79">
        <f>SUM(W17,-Q17)</f>
        <v>-604971.94999999995</v>
      </c>
      <c r="AD17" s="62"/>
      <c r="AE17" s="63" t="str">
        <f>IF(W17=0,"N/A",PRODUCT(AC17,1/Q17))</f>
        <v>N/A</v>
      </c>
      <c r="AF17" s="57"/>
      <c r="AG17" s="57"/>
      <c r="AH17" s="57"/>
      <c r="AI17" s="57"/>
      <c r="AJ17" s="57"/>
    </row>
    <row r="18" spans="1:36" ht="12.75" customHeight="1" x14ac:dyDescent="0.2">
      <c r="A18" s="64" t="s">
        <v>1362</v>
      </c>
      <c r="C18" s="81">
        <f>SUM(C16:C17)</f>
        <v>0</v>
      </c>
      <c r="E18" s="81">
        <f>SUM(E16:E17)</f>
        <v>4122343.24</v>
      </c>
      <c r="G18" s="81">
        <f>SUM(G16:G17)</f>
        <v>0</v>
      </c>
      <c r="I18" s="81">
        <f>SUM(I16:I17)</f>
        <v>4250000</v>
      </c>
      <c r="K18" s="81">
        <f>SUM(K16:K17)</f>
        <v>4250000</v>
      </c>
      <c r="M18" s="81">
        <f>SUM(M16:M17)</f>
        <v>12449971.949999999</v>
      </c>
      <c r="O18" s="81">
        <f>SUM(O16:O17)</f>
        <v>0</v>
      </c>
      <c r="Q18" s="81">
        <f>SUM(Q16:Q17)</f>
        <v>12449971.949999999</v>
      </c>
      <c r="S18" s="81">
        <f>SUM(S16:S17)</f>
        <v>0</v>
      </c>
      <c r="U18" s="81">
        <f>SUM(U16:U17)</f>
        <v>0</v>
      </c>
      <c r="W18" s="81">
        <f>SUM(W16:W17)</f>
        <v>9000000</v>
      </c>
      <c r="Y18" s="81">
        <f>SUM(Y16:Y17)</f>
        <v>4750000</v>
      </c>
      <c r="Z18" s="57"/>
      <c r="AA18" s="65">
        <f>IF(W18=0,"N/A",PRODUCT(Y18,1/I18))</f>
        <v>1.1176470588235294</v>
      </c>
      <c r="AB18" s="57"/>
      <c r="AC18" s="81">
        <f>SUM(AC16:AC17)</f>
        <v>-3449971.95</v>
      </c>
      <c r="AD18" s="57"/>
      <c r="AE18" s="65">
        <f>IF(W18=0,"N/A",PRODUCT(AC18,1/Q18))</f>
        <v>-0.277106805047862</v>
      </c>
      <c r="AF18" s="57"/>
      <c r="AG18" s="57"/>
      <c r="AH18" s="57"/>
      <c r="AI18" s="57"/>
      <c r="AJ18" s="57"/>
    </row>
    <row r="19" spans="1:36" ht="12.75" customHeight="1" x14ac:dyDescent="0.2">
      <c r="Z19" s="57"/>
      <c r="AB19" s="57"/>
      <c r="AD19" s="57"/>
      <c r="AF19" s="57"/>
      <c r="AG19" s="57"/>
      <c r="AH19" s="57"/>
      <c r="AI19" s="57"/>
      <c r="AJ19" s="57"/>
    </row>
    <row r="20" spans="1:36" ht="12.75" customHeight="1" x14ac:dyDescent="0.2">
      <c r="A20" s="54" t="s">
        <v>1346</v>
      </c>
      <c r="Z20" s="57"/>
      <c r="AB20" s="57"/>
      <c r="AD20" s="57"/>
      <c r="AF20" s="57"/>
      <c r="AG20" s="57"/>
      <c r="AH20" s="57"/>
      <c r="AI20" s="57"/>
      <c r="AJ20" s="57"/>
    </row>
    <row r="21" spans="1:36" ht="12.75" customHeight="1" x14ac:dyDescent="0.2">
      <c r="A21" s="59" t="s">
        <v>1156</v>
      </c>
      <c r="B21" s="60" t="s">
        <v>1142</v>
      </c>
      <c r="C21" s="79">
        <v>0</v>
      </c>
      <c r="D21" s="80"/>
      <c r="E21" s="79">
        <v>0</v>
      </c>
      <c r="F21" s="80"/>
      <c r="G21" s="79">
        <v>0</v>
      </c>
      <c r="H21" s="79"/>
      <c r="I21" s="79">
        <v>0</v>
      </c>
      <c r="J21" s="79"/>
      <c r="K21" s="79">
        <v>0</v>
      </c>
      <c r="L21" s="79"/>
      <c r="M21" s="79">
        <v>0</v>
      </c>
      <c r="N21" s="79"/>
      <c r="O21" s="79">
        <v>0</v>
      </c>
      <c r="P21" s="79"/>
      <c r="Q21" s="79">
        <f>SUM(M21,O21)</f>
        <v>0</v>
      </c>
      <c r="R21" s="79"/>
      <c r="S21" s="79">
        <v>0</v>
      </c>
      <c r="T21" s="79"/>
      <c r="U21" s="79">
        <v>0</v>
      </c>
      <c r="V21" s="79"/>
      <c r="W21" s="79">
        <v>8995000</v>
      </c>
      <c r="X21" s="79"/>
      <c r="Y21" s="79">
        <f>SUM(W21,-I21)</f>
        <v>8995000</v>
      </c>
      <c r="Z21" s="62"/>
      <c r="AA21" s="63" t="e">
        <f>IF(W21=0,"N/A",PRODUCT(Y21,1/I21))</f>
        <v>#DIV/0!</v>
      </c>
      <c r="AB21" s="62"/>
      <c r="AC21" s="79">
        <f>SUM(W21,-Q21)</f>
        <v>8995000</v>
      </c>
      <c r="AD21" s="62"/>
      <c r="AE21" s="63" t="e">
        <f>IF(W21=0,"N/A",PRODUCT(AC21,1/Q21))</f>
        <v>#DIV/0!</v>
      </c>
      <c r="AF21" s="57"/>
      <c r="AG21" s="57"/>
      <c r="AH21" s="57"/>
      <c r="AI21" s="57"/>
      <c r="AJ21" s="57"/>
    </row>
    <row r="22" spans="1:36" ht="12.75" customHeight="1" x14ac:dyDescent="0.2">
      <c r="A22" s="64" t="s">
        <v>1347</v>
      </c>
      <c r="C22" s="81">
        <f>SUM(C21:C21)</f>
        <v>0</v>
      </c>
      <c r="E22" s="81">
        <f>SUM(E21:E21)</f>
        <v>0</v>
      </c>
      <c r="G22" s="81">
        <f>SUM(G21:G21)</f>
        <v>0</v>
      </c>
      <c r="I22" s="81">
        <f>SUM(I21:I21)</f>
        <v>0</v>
      </c>
      <c r="K22" s="81">
        <f>SUM(K21:K21)</f>
        <v>0</v>
      </c>
      <c r="M22" s="81">
        <f>SUM(M21:M21)</f>
        <v>0</v>
      </c>
      <c r="O22" s="81">
        <f>SUM(O21:O21)</f>
        <v>0</v>
      </c>
      <c r="Q22" s="81">
        <f>SUM(Q21:Q21)</f>
        <v>0</v>
      </c>
      <c r="S22" s="81">
        <f>SUM(S21:S21)</f>
        <v>0</v>
      </c>
      <c r="U22" s="81">
        <f>SUM(U21:U21)</f>
        <v>0</v>
      </c>
      <c r="W22" s="81">
        <f>SUM(W21:W21)</f>
        <v>8995000</v>
      </c>
      <c r="Y22" s="81">
        <f>SUM(Y21:Y21)</f>
        <v>8995000</v>
      </c>
      <c r="Z22" s="57"/>
      <c r="AA22" s="65" t="e">
        <f>IF(W22=0,"N/A",PRODUCT(Y22,1/I22))</f>
        <v>#DIV/0!</v>
      </c>
      <c r="AB22" s="57"/>
      <c r="AC22" s="81">
        <f>SUM(AC21:AC21)</f>
        <v>8995000</v>
      </c>
      <c r="AD22" s="57"/>
      <c r="AE22" s="65" t="e">
        <f>IF(W22=0,"N/A",PRODUCT(AC22,1/Q22))</f>
        <v>#DIV/0!</v>
      </c>
      <c r="AF22" s="57"/>
      <c r="AG22" s="57"/>
      <c r="AH22" s="57"/>
      <c r="AI22" s="57"/>
      <c r="AJ22" s="57"/>
    </row>
    <row r="23" spans="1:36" ht="12.75" customHeight="1" x14ac:dyDescent="0.2">
      <c r="Z23" s="57"/>
      <c r="AB23" s="57"/>
      <c r="AD23" s="57"/>
      <c r="AF23" s="57"/>
      <c r="AG23" s="57"/>
      <c r="AH23" s="57"/>
      <c r="AI23" s="57"/>
      <c r="AJ23" s="57"/>
    </row>
    <row r="24" spans="1:36" ht="12.75" customHeight="1" thickBot="1" x14ac:dyDescent="0.25">
      <c r="A24" s="67" t="s">
        <v>830</v>
      </c>
      <c r="C24" s="83">
        <f>SUM(C8,C13,C18,C22)</f>
        <v>859007.54</v>
      </c>
      <c r="E24" s="83">
        <f>SUM(E8,E13,E18,E22)</f>
        <v>4124450.45</v>
      </c>
      <c r="G24" s="83">
        <f>SUM(G8,G13,G18,G22)</f>
        <v>158293.25</v>
      </c>
      <c r="I24" s="83">
        <f>SUM(I8,I13,I18,I22)</f>
        <v>4250000</v>
      </c>
      <c r="K24" s="83">
        <f>SUM(K8,K13,K18,K22)</f>
        <v>4250000</v>
      </c>
      <c r="M24" s="82">
        <f>SUM(M8,M13,M18,M22)</f>
        <v>12772171.42</v>
      </c>
      <c r="O24" s="82">
        <f>SUM(O8,O13,O18,O22)</f>
        <v>0</v>
      </c>
      <c r="Q24" s="83">
        <f>SUM(Q8,Q13,Q18,Q22)</f>
        <v>12772171.42</v>
      </c>
      <c r="S24" s="82">
        <f>SUM(S8,S13,S18,S22)</f>
        <v>45000</v>
      </c>
      <c r="U24" s="82">
        <f>SUM(U8,U13,U18,U22)</f>
        <v>45000</v>
      </c>
      <c r="W24" s="83">
        <f>SUM(W8,W13,W18,W22)</f>
        <v>18040000</v>
      </c>
      <c r="Y24" s="82">
        <f>SUM(Y8,Y13,Y18,Y22)</f>
        <v>13790000</v>
      </c>
      <c r="Z24" s="57"/>
      <c r="AA24" s="125">
        <f>IF(W24=0,"N/A",PRODUCT(Y24,1/I24))</f>
        <v>3.2447058823529416</v>
      </c>
      <c r="AB24" s="57"/>
      <c r="AC24" s="82">
        <f>SUM(AC8,AC13,AC18,AC22)</f>
        <v>5267828.58</v>
      </c>
      <c r="AD24" s="57"/>
      <c r="AE24" s="125">
        <f>IF(W24=0,"N/A",PRODUCT(AC24,1/Q24))</f>
        <v>0.41244580946909964</v>
      </c>
      <c r="AF24" s="57"/>
      <c r="AG24" s="57"/>
      <c r="AH24" s="57"/>
      <c r="AI24" s="57"/>
      <c r="AJ24" s="57"/>
    </row>
    <row r="25" spans="1:36" ht="12.75" customHeight="1" thickTop="1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ht="12.75" customHeight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Z27" s="57"/>
      <c r="AB27" s="57"/>
      <c r="AD27" s="57"/>
      <c r="AF27" s="57"/>
      <c r="AG27" s="57"/>
      <c r="AH27" s="57"/>
      <c r="AI27" s="57"/>
      <c r="AJ27" s="57"/>
    </row>
    <row r="28" spans="1:36" ht="12.75" customHeight="1" x14ac:dyDescent="0.2">
      <c r="A28" s="67" t="s">
        <v>831</v>
      </c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A29" s="54" t="s">
        <v>69</v>
      </c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A30" s="59" t="s">
        <v>817</v>
      </c>
      <c r="B30" s="60" t="s">
        <v>781</v>
      </c>
      <c r="C30" s="79">
        <v>0</v>
      </c>
      <c r="D30" s="80"/>
      <c r="E30" s="79">
        <v>118180.13</v>
      </c>
      <c r="F30" s="80"/>
      <c r="G30" s="79">
        <v>0</v>
      </c>
      <c r="H30" s="79"/>
      <c r="I30" s="79">
        <v>0</v>
      </c>
      <c r="J30" s="79"/>
      <c r="K30" s="79">
        <v>0</v>
      </c>
      <c r="L30" s="79"/>
      <c r="M30" s="79">
        <v>0</v>
      </c>
      <c r="N30" s="79"/>
      <c r="O30" s="79">
        <v>0</v>
      </c>
      <c r="P30" s="79"/>
      <c r="Q30" s="79">
        <f>SUM(M30,O30)</f>
        <v>0</v>
      </c>
      <c r="R30" s="79"/>
      <c r="S30" s="79">
        <v>0</v>
      </c>
      <c r="T30" s="79"/>
      <c r="U30" s="79">
        <v>0</v>
      </c>
      <c r="V30" s="79"/>
      <c r="W30" s="79">
        <v>0</v>
      </c>
      <c r="X30" s="79"/>
      <c r="Y30" s="79">
        <f>SUM(W30,-I30)</f>
        <v>0</v>
      </c>
      <c r="Z30" s="62"/>
      <c r="AA30" s="63" t="str">
        <f>IF(W30=0,"N/A",PRODUCT(Y30,1/I30))</f>
        <v>N/A</v>
      </c>
      <c r="AB30" s="62"/>
      <c r="AC30" s="79">
        <f>SUM(W30,-Q30)</f>
        <v>0</v>
      </c>
      <c r="AD30" s="62"/>
      <c r="AE30" s="63" t="str">
        <f>IF(W30=0,"N/A",PRODUCT(AC30,1/Q30))</f>
        <v>N/A</v>
      </c>
      <c r="AF30" s="57"/>
      <c r="AG30" s="57"/>
      <c r="AH30" s="57"/>
      <c r="AI30" s="57"/>
      <c r="AJ30" s="57"/>
    </row>
    <row r="31" spans="1:36" ht="12.75" customHeight="1" x14ac:dyDescent="0.2">
      <c r="A31" s="55" t="s">
        <v>818</v>
      </c>
      <c r="B31" s="56" t="s">
        <v>819</v>
      </c>
      <c r="C31" s="77">
        <v>0</v>
      </c>
      <c r="E31" s="77">
        <v>0</v>
      </c>
      <c r="G31" s="77">
        <v>0</v>
      </c>
      <c r="I31" s="77">
        <v>150000</v>
      </c>
      <c r="K31" s="77">
        <v>150000</v>
      </c>
      <c r="M31" s="77">
        <v>0</v>
      </c>
      <c r="O31" s="77">
        <v>0</v>
      </c>
      <c r="Q31" s="77">
        <f>SUM(M31,O31)</f>
        <v>0</v>
      </c>
      <c r="S31" s="77">
        <v>0</v>
      </c>
      <c r="U31" s="77">
        <v>0</v>
      </c>
      <c r="W31" s="77">
        <v>0</v>
      </c>
      <c r="Y31" s="77">
        <f>SUM(W31,-I31)</f>
        <v>-150000</v>
      </c>
      <c r="Z31" s="57"/>
      <c r="AA31" s="58" t="str">
        <f>IF(W31=0,"N/A",PRODUCT(Y31,1/I31))</f>
        <v>N/A</v>
      </c>
      <c r="AB31" s="57"/>
      <c r="AC31" s="77">
        <f>SUM(W31,-Q31)</f>
        <v>0</v>
      </c>
      <c r="AD31" s="57"/>
      <c r="AE31" s="58" t="str">
        <f>IF(W31=0,"N/A",PRODUCT(AC31,1/Q31))</f>
        <v>N/A</v>
      </c>
      <c r="AF31" s="57"/>
      <c r="AG31" s="57"/>
      <c r="AH31" s="57"/>
      <c r="AI31" s="57"/>
      <c r="AJ31" s="57"/>
    </row>
    <row r="32" spans="1:36" ht="12.75" customHeight="1" x14ac:dyDescent="0.2">
      <c r="A32" s="59" t="s">
        <v>1096</v>
      </c>
      <c r="B32" s="60" t="s">
        <v>1097</v>
      </c>
      <c r="C32" s="79">
        <v>0</v>
      </c>
      <c r="D32" s="80"/>
      <c r="E32" s="79">
        <v>0</v>
      </c>
      <c r="F32" s="80"/>
      <c r="G32" s="79">
        <v>0</v>
      </c>
      <c r="H32" s="79"/>
      <c r="I32" s="79">
        <v>0</v>
      </c>
      <c r="J32" s="79"/>
      <c r="K32" s="79">
        <v>0</v>
      </c>
      <c r="L32" s="79"/>
      <c r="M32" s="79">
        <v>343862.21</v>
      </c>
      <c r="N32" s="79"/>
      <c r="O32" s="79">
        <v>0</v>
      </c>
      <c r="P32" s="79"/>
      <c r="Q32" s="79">
        <f>SUM(M32,O32)</f>
        <v>343862.21</v>
      </c>
      <c r="R32" s="79"/>
      <c r="S32" s="79">
        <v>0</v>
      </c>
      <c r="T32" s="79"/>
      <c r="U32" s="79">
        <v>0</v>
      </c>
      <c r="V32" s="79"/>
      <c r="W32" s="79">
        <v>0</v>
      </c>
      <c r="X32" s="79"/>
      <c r="Y32" s="79">
        <f>SUM(W32,-I32)</f>
        <v>0</v>
      </c>
      <c r="Z32" s="62"/>
      <c r="AA32" s="63" t="str">
        <f>IF(W32=0,"N/A",PRODUCT(Y32,1/I32))</f>
        <v>N/A</v>
      </c>
      <c r="AB32" s="62"/>
      <c r="AC32" s="79">
        <f>SUM(W32,-Q32)</f>
        <v>-343862.21</v>
      </c>
      <c r="AD32" s="62"/>
      <c r="AE32" s="63" t="str">
        <f>IF(W32=0,"N/A",PRODUCT(AC32,1/Q32))</f>
        <v>N/A</v>
      </c>
      <c r="AF32" s="57"/>
      <c r="AG32" s="57"/>
      <c r="AH32" s="57"/>
      <c r="AI32" s="57"/>
      <c r="AJ32" s="57"/>
    </row>
    <row r="33" spans="1:36" ht="12.75" customHeight="1" x14ac:dyDescent="0.2">
      <c r="A33" s="64" t="s">
        <v>70</v>
      </c>
      <c r="C33" s="81">
        <f>SUM(C30:C32)</f>
        <v>0</v>
      </c>
      <c r="E33" s="81">
        <f>SUM(E30:E32)</f>
        <v>118180.13</v>
      </c>
      <c r="G33" s="81">
        <f>SUM(G30:G32)</f>
        <v>0</v>
      </c>
      <c r="I33" s="81">
        <f>SUM(I30:I32)</f>
        <v>150000</v>
      </c>
      <c r="K33" s="81">
        <f>SUM(K30:K32)</f>
        <v>150000</v>
      </c>
      <c r="M33" s="81">
        <f>SUM(M30:M32)</f>
        <v>343862.21</v>
      </c>
      <c r="O33" s="81">
        <f>SUM(O30:O32)</f>
        <v>0</v>
      </c>
      <c r="Q33" s="81">
        <f>SUM(Q30:Q32)</f>
        <v>343862.21</v>
      </c>
      <c r="S33" s="81">
        <f>SUM(S30:S32)</f>
        <v>0</v>
      </c>
      <c r="U33" s="81">
        <f>SUM(U30:U32)</f>
        <v>0</v>
      </c>
      <c r="W33" s="81">
        <f>SUM(W30:W32)</f>
        <v>0</v>
      </c>
      <c r="Y33" s="81">
        <f>SUM(Y30:Y32)</f>
        <v>-150000</v>
      </c>
      <c r="Z33" s="57"/>
      <c r="AA33" s="65" t="str">
        <f>IF(W33=0,"N/A",PRODUCT(Y33,1/I33))</f>
        <v>N/A</v>
      </c>
      <c r="AB33" s="57"/>
      <c r="AC33" s="81">
        <f>SUM(AC30:AC32)</f>
        <v>-343862.21</v>
      </c>
      <c r="AD33" s="57"/>
      <c r="AE33" s="65" t="str">
        <f>IF(W33=0,"N/A",PRODUCT(AC33,1/Q33))</f>
        <v>N/A</v>
      </c>
      <c r="AF33" s="57"/>
      <c r="AG33" s="57"/>
      <c r="AH33" s="57"/>
      <c r="AI33" s="57"/>
      <c r="AJ33" s="57"/>
    </row>
    <row r="34" spans="1:36" ht="12.75" customHeight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A35" s="54" t="s">
        <v>388</v>
      </c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A36" s="59" t="s">
        <v>820</v>
      </c>
      <c r="B36" s="60" t="s">
        <v>243</v>
      </c>
      <c r="C36" s="79">
        <v>0</v>
      </c>
      <c r="D36" s="80"/>
      <c r="E36" s="79">
        <v>0</v>
      </c>
      <c r="F36" s="80"/>
      <c r="G36" s="79">
        <v>0</v>
      </c>
      <c r="H36" s="79"/>
      <c r="I36" s="79">
        <v>1200000</v>
      </c>
      <c r="J36" s="79"/>
      <c r="K36" s="79">
        <v>1200000</v>
      </c>
      <c r="L36" s="79"/>
      <c r="M36" s="79">
        <v>0</v>
      </c>
      <c r="N36" s="79"/>
      <c r="O36" s="79">
        <v>0</v>
      </c>
      <c r="P36" s="79"/>
      <c r="Q36" s="79">
        <f t="shared" ref="Q36:Q45" si="0">SUM(M36,O36)</f>
        <v>0</v>
      </c>
      <c r="R36" s="79"/>
      <c r="S36" s="79">
        <v>0</v>
      </c>
      <c r="T36" s="79"/>
      <c r="U36" s="79">
        <v>0</v>
      </c>
      <c r="V36" s="79"/>
      <c r="W36" s="79">
        <v>0</v>
      </c>
      <c r="X36" s="79"/>
      <c r="Y36" s="79">
        <f t="shared" ref="Y36:Y45" si="1">SUM(W36,-I36)</f>
        <v>-1200000</v>
      </c>
      <c r="Z36" s="62"/>
      <c r="AA36" s="63" t="str">
        <f t="shared" ref="AA36:AA47" si="2">IF(W36=0,"N/A",PRODUCT(Y36,1/I36))</f>
        <v>N/A</v>
      </c>
      <c r="AB36" s="62"/>
      <c r="AC36" s="79">
        <f t="shared" ref="AC36:AC45" si="3">SUM(W36,-Q36)</f>
        <v>0</v>
      </c>
      <c r="AD36" s="62"/>
      <c r="AE36" s="63" t="str">
        <f t="shared" ref="AE36:AE47" si="4">IF(W36=0,"N/A",PRODUCT(AC36,1/Q36))</f>
        <v>N/A</v>
      </c>
      <c r="AF36" s="57"/>
      <c r="AG36" s="57"/>
      <c r="AH36" s="57"/>
      <c r="AI36" s="57"/>
      <c r="AJ36" s="57"/>
    </row>
    <row r="37" spans="1:36" ht="12.75" customHeight="1" x14ac:dyDescent="0.2">
      <c r="A37" s="55" t="s">
        <v>821</v>
      </c>
      <c r="B37" s="56" t="s">
        <v>822</v>
      </c>
      <c r="C37" s="77">
        <v>1044578.44</v>
      </c>
      <c r="E37" s="77">
        <v>182566.81</v>
      </c>
      <c r="G37" s="77">
        <v>1900767.75</v>
      </c>
      <c r="I37" s="77">
        <v>2850000</v>
      </c>
      <c r="K37" s="77">
        <v>2850000</v>
      </c>
      <c r="M37" s="77">
        <v>755790.12</v>
      </c>
      <c r="O37" s="77">
        <v>0</v>
      </c>
      <c r="Q37" s="77">
        <f t="shared" si="0"/>
        <v>755790.12</v>
      </c>
      <c r="S37" s="77">
        <v>0</v>
      </c>
      <c r="U37" s="77">
        <v>0</v>
      </c>
      <c r="W37" s="77">
        <v>0</v>
      </c>
      <c r="Y37" s="77">
        <f t="shared" si="1"/>
        <v>-2850000</v>
      </c>
      <c r="Z37" s="57"/>
      <c r="AA37" s="58" t="str">
        <f t="shared" si="2"/>
        <v>N/A</v>
      </c>
      <c r="AB37" s="57"/>
      <c r="AC37" s="77">
        <f t="shared" si="3"/>
        <v>-755790.12</v>
      </c>
      <c r="AD37" s="57"/>
      <c r="AE37" s="58" t="str">
        <f t="shared" si="4"/>
        <v>N/A</v>
      </c>
      <c r="AF37" s="57"/>
      <c r="AG37" s="57"/>
      <c r="AH37" s="57"/>
      <c r="AI37" s="57"/>
      <c r="AJ37" s="57"/>
    </row>
    <row r="38" spans="1:36" ht="12.75" customHeight="1" x14ac:dyDescent="0.2">
      <c r="A38" s="59" t="s">
        <v>823</v>
      </c>
      <c r="B38" s="60" t="s">
        <v>824</v>
      </c>
      <c r="C38" s="79">
        <v>0</v>
      </c>
      <c r="D38" s="80"/>
      <c r="E38" s="79">
        <v>1764747.48</v>
      </c>
      <c r="F38" s="80"/>
      <c r="G38" s="79">
        <v>0</v>
      </c>
      <c r="H38" s="79"/>
      <c r="I38" s="79">
        <v>0</v>
      </c>
      <c r="J38" s="79"/>
      <c r="K38" s="79">
        <v>0</v>
      </c>
      <c r="L38" s="79"/>
      <c r="M38" s="79">
        <v>0</v>
      </c>
      <c r="N38" s="79"/>
      <c r="O38" s="79">
        <v>0</v>
      </c>
      <c r="P38" s="79"/>
      <c r="Q38" s="79">
        <f t="shared" si="0"/>
        <v>0</v>
      </c>
      <c r="R38" s="79"/>
      <c r="S38" s="79">
        <v>0</v>
      </c>
      <c r="T38" s="79"/>
      <c r="U38" s="79">
        <v>0</v>
      </c>
      <c r="V38" s="79"/>
      <c r="W38" s="79">
        <v>0</v>
      </c>
      <c r="X38" s="79"/>
      <c r="Y38" s="79">
        <f t="shared" si="1"/>
        <v>0</v>
      </c>
      <c r="Z38" s="62"/>
      <c r="AA38" s="63" t="str">
        <f t="shared" si="2"/>
        <v>N/A</v>
      </c>
      <c r="AB38" s="62"/>
      <c r="AC38" s="79">
        <f t="shared" si="3"/>
        <v>0</v>
      </c>
      <c r="AD38" s="62"/>
      <c r="AE38" s="63" t="str">
        <f t="shared" si="4"/>
        <v>N/A</v>
      </c>
      <c r="AF38" s="57"/>
      <c r="AG38" s="57"/>
      <c r="AH38" s="57"/>
      <c r="AI38" s="57"/>
      <c r="AJ38" s="57"/>
    </row>
    <row r="39" spans="1:36" ht="12.75" customHeight="1" x14ac:dyDescent="0.2">
      <c r="A39" s="55" t="s">
        <v>825</v>
      </c>
      <c r="B39" s="56" t="s">
        <v>826</v>
      </c>
      <c r="C39" s="77">
        <v>0</v>
      </c>
      <c r="E39" s="77">
        <v>0</v>
      </c>
      <c r="G39" s="77">
        <v>0</v>
      </c>
      <c r="I39" s="77">
        <v>0</v>
      </c>
      <c r="K39" s="77">
        <v>0</v>
      </c>
      <c r="M39" s="77">
        <v>183052.36</v>
      </c>
      <c r="O39" s="77">
        <v>0</v>
      </c>
      <c r="Q39" s="77">
        <f t="shared" si="0"/>
        <v>183052.36</v>
      </c>
      <c r="S39" s="77">
        <v>0</v>
      </c>
      <c r="U39" s="77">
        <v>0</v>
      </c>
      <c r="W39" s="77">
        <v>0</v>
      </c>
      <c r="Y39" s="77">
        <f t="shared" si="1"/>
        <v>0</v>
      </c>
      <c r="Z39" s="57"/>
      <c r="AA39" s="58" t="str">
        <f t="shared" si="2"/>
        <v>N/A</v>
      </c>
      <c r="AB39" s="57"/>
      <c r="AC39" s="77">
        <f t="shared" si="3"/>
        <v>-183052.36</v>
      </c>
      <c r="AD39" s="57"/>
      <c r="AE39" s="58" t="str">
        <f t="shared" si="4"/>
        <v>N/A</v>
      </c>
      <c r="AF39" s="57"/>
      <c r="AG39" s="57"/>
      <c r="AH39" s="57"/>
      <c r="AI39" s="57"/>
      <c r="AJ39" s="57"/>
    </row>
    <row r="40" spans="1:36" ht="12.75" customHeight="1" x14ac:dyDescent="0.2">
      <c r="A40" s="59" t="s">
        <v>827</v>
      </c>
      <c r="B40" s="60" t="s">
        <v>828</v>
      </c>
      <c r="C40" s="79">
        <v>0</v>
      </c>
      <c r="D40" s="80"/>
      <c r="E40" s="79">
        <v>0</v>
      </c>
      <c r="F40" s="80"/>
      <c r="G40" s="79">
        <v>0</v>
      </c>
      <c r="H40" s="79"/>
      <c r="I40" s="79">
        <v>0</v>
      </c>
      <c r="J40" s="79"/>
      <c r="K40" s="79">
        <v>0</v>
      </c>
      <c r="L40" s="79"/>
      <c r="M40" s="79">
        <v>0</v>
      </c>
      <c r="N40" s="79"/>
      <c r="O40" s="79">
        <v>0</v>
      </c>
      <c r="P40" s="79"/>
      <c r="Q40" s="79">
        <f t="shared" si="0"/>
        <v>0</v>
      </c>
      <c r="R40" s="79"/>
      <c r="S40" s="79">
        <v>0</v>
      </c>
      <c r="T40" s="79"/>
      <c r="U40" s="79">
        <v>0</v>
      </c>
      <c r="V40" s="79"/>
      <c r="W40" s="79">
        <v>0</v>
      </c>
      <c r="X40" s="79"/>
      <c r="Y40" s="79">
        <f t="shared" si="1"/>
        <v>0</v>
      </c>
      <c r="Z40" s="62"/>
      <c r="AA40" s="63" t="str">
        <f t="shared" si="2"/>
        <v>N/A</v>
      </c>
      <c r="AB40" s="62"/>
      <c r="AC40" s="79">
        <f t="shared" si="3"/>
        <v>0</v>
      </c>
      <c r="AD40" s="62"/>
      <c r="AE40" s="63" t="str">
        <f t="shared" si="4"/>
        <v>N/A</v>
      </c>
      <c r="AF40" s="57"/>
      <c r="AG40" s="57"/>
      <c r="AH40" s="57"/>
      <c r="AI40" s="57"/>
      <c r="AJ40" s="57"/>
    </row>
    <row r="41" spans="1:36" ht="12.75" customHeight="1" x14ac:dyDescent="0.2">
      <c r="A41" s="55" t="s">
        <v>1100</v>
      </c>
      <c r="B41" s="56" t="s">
        <v>1093</v>
      </c>
      <c r="C41" s="77">
        <v>0</v>
      </c>
      <c r="E41" s="77">
        <v>0</v>
      </c>
      <c r="G41" s="77">
        <v>0</v>
      </c>
      <c r="I41" s="77">
        <v>0</v>
      </c>
      <c r="K41" s="77">
        <v>0</v>
      </c>
      <c r="M41" s="77">
        <v>0</v>
      </c>
      <c r="O41" s="77">
        <v>0</v>
      </c>
      <c r="Q41" s="77">
        <f t="shared" si="0"/>
        <v>0</v>
      </c>
      <c r="S41" s="77">
        <v>11900000</v>
      </c>
      <c r="U41" s="77">
        <v>11900000</v>
      </c>
      <c r="W41" s="77">
        <v>8000000</v>
      </c>
      <c r="Y41" s="77">
        <f t="shared" si="1"/>
        <v>8000000</v>
      </c>
      <c r="Z41" s="57"/>
      <c r="AA41" s="58" t="e">
        <f t="shared" si="2"/>
        <v>#DIV/0!</v>
      </c>
      <c r="AB41" s="57"/>
      <c r="AC41" s="77">
        <f t="shared" si="3"/>
        <v>8000000</v>
      </c>
      <c r="AD41" s="57"/>
      <c r="AE41" s="58" t="e">
        <f t="shared" si="4"/>
        <v>#DIV/0!</v>
      </c>
      <c r="AF41" s="57"/>
      <c r="AG41" s="57"/>
      <c r="AH41" s="57"/>
      <c r="AI41" s="57"/>
      <c r="AJ41" s="57"/>
    </row>
    <row r="42" spans="1:36" ht="12.75" customHeight="1" x14ac:dyDescent="0.2">
      <c r="A42" s="59" t="s">
        <v>1101</v>
      </c>
      <c r="B42" s="60" t="s">
        <v>1094</v>
      </c>
      <c r="C42" s="79">
        <v>0</v>
      </c>
      <c r="D42" s="80"/>
      <c r="E42" s="79">
        <v>0</v>
      </c>
      <c r="F42" s="80"/>
      <c r="G42" s="79">
        <v>0</v>
      </c>
      <c r="H42" s="79"/>
      <c r="I42" s="79">
        <v>0</v>
      </c>
      <c r="J42" s="79"/>
      <c r="K42" s="79">
        <v>0</v>
      </c>
      <c r="L42" s="79"/>
      <c r="M42" s="79">
        <v>0</v>
      </c>
      <c r="N42" s="79"/>
      <c r="O42" s="79">
        <v>0</v>
      </c>
      <c r="P42" s="79"/>
      <c r="Q42" s="79">
        <f t="shared" si="0"/>
        <v>0</v>
      </c>
      <c r="R42" s="79"/>
      <c r="S42" s="79">
        <v>1200000</v>
      </c>
      <c r="T42" s="79"/>
      <c r="U42" s="79">
        <v>1200000</v>
      </c>
      <c r="V42" s="79"/>
      <c r="W42" s="79">
        <v>1200000</v>
      </c>
      <c r="X42" s="79"/>
      <c r="Y42" s="79">
        <f t="shared" si="1"/>
        <v>1200000</v>
      </c>
      <c r="Z42" s="62"/>
      <c r="AA42" s="63" t="e">
        <f t="shared" si="2"/>
        <v>#DIV/0!</v>
      </c>
      <c r="AB42" s="62"/>
      <c r="AC42" s="79">
        <f t="shared" si="3"/>
        <v>1200000</v>
      </c>
      <c r="AD42" s="62"/>
      <c r="AE42" s="63" t="e">
        <f t="shared" si="4"/>
        <v>#DIV/0!</v>
      </c>
      <c r="AF42" s="57"/>
      <c r="AG42" s="57"/>
      <c r="AH42" s="57"/>
      <c r="AI42" s="57"/>
      <c r="AJ42" s="57"/>
    </row>
    <row r="43" spans="1:36" ht="12.75" customHeight="1" x14ac:dyDescent="0.2">
      <c r="A43" s="55" t="s">
        <v>1102</v>
      </c>
      <c r="B43" s="56" t="s">
        <v>1095</v>
      </c>
      <c r="C43" s="77">
        <v>0</v>
      </c>
      <c r="E43" s="77">
        <v>0</v>
      </c>
      <c r="G43" s="77">
        <v>0</v>
      </c>
      <c r="I43" s="77">
        <v>0</v>
      </c>
      <c r="K43" s="77">
        <v>0</v>
      </c>
      <c r="M43" s="77">
        <v>0</v>
      </c>
      <c r="O43" s="77">
        <v>0</v>
      </c>
      <c r="Q43" s="77">
        <f t="shared" si="0"/>
        <v>0</v>
      </c>
      <c r="S43" s="77">
        <v>750000</v>
      </c>
      <c r="U43" s="77">
        <v>820000</v>
      </c>
      <c r="W43" s="77">
        <v>820000</v>
      </c>
      <c r="Y43" s="77">
        <f t="shared" si="1"/>
        <v>820000</v>
      </c>
      <c r="Z43" s="57"/>
      <c r="AA43" s="58" t="e">
        <f t="shared" si="2"/>
        <v>#DIV/0!</v>
      </c>
      <c r="AB43" s="57"/>
      <c r="AC43" s="77">
        <f t="shared" si="3"/>
        <v>820000</v>
      </c>
      <c r="AD43" s="57"/>
      <c r="AE43" s="58" t="e">
        <f t="shared" si="4"/>
        <v>#DIV/0!</v>
      </c>
      <c r="AF43" s="57"/>
      <c r="AG43" s="57"/>
      <c r="AH43" s="57"/>
      <c r="AI43" s="57"/>
      <c r="AJ43" s="57"/>
    </row>
    <row r="44" spans="1:36" ht="12.75" customHeight="1" x14ac:dyDescent="0.2">
      <c r="A44" s="59" t="s">
        <v>1103</v>
      </c>
      <c r="B44" s="60" t="s">
        <v>1099</v>
      </c>
      <c r="C44" s="79">
        <v>0</v>
      </c>
      <c r="D44" s="80"/>
      <c r="E44" s="79">
        <v>0</v>
      </c>
      <c r="F44" s="80"/>
      <c r="G44" s="79">
        <v>0</v>
      </c>
      <c r="H44" s="79"/>
      <c r="I44" s="79">
        <v>0</v>
      </c>
      <c r="J44" s="79"/>
      <c r="K44" s="79">
        <v>0</v>
      </c>
      <c r="L44" s="79"/>
      <c r="M44" s="79">
        <v>0</v>
      </c>
      <c r="N44" s="79"/>
      <c r="O44" s="79">
        <v>0</v>
      </c>
      <c r="P44" s="79"/>
      <c r="Q44" s="79">
        <f t="shared" si="0"/>
        <v>0</v>
      </c>
      <c r="R44" s="79"/>
      <c r="S44" s="79">
        <v>3000000</v>
      </c>
      <c r="T44" s="79"/>
      <c r="U44" s="79">
        <v>3100000</v>
      </c>
      <c r="V44" s="79"/>
      <c r="W44" s="79">
        <v>3100000</v>
      </c>
      <c r="X44" s="79"/>
      <c r="Y44" s="79">
        <f t="shared" si="1"/>
        <v>3100000</v>
      </c>
      <c r="Z44" s="62"/>
      <c r="AA44" s="63" t="e">
        <f t="shared" si="2"/>
        <v>#DIV/0!</v>
      </c>
      <c r="AB44" s="62"/>
      <c r="AC44" s="79">
        <f t="shared" si="3"/>
        <v>3100000</v>
      </c>
      <c r="AD44" s="62"/>
      <c r="AE44" s="63" t="e">
        <f t="shared" si="4"/>
        <v>#DIV/0!</v>
      </c>
      <c r="AF44" s="57"/>
      <c r="AG44" s="57"/>
      <c r="AH44" s="57"/>
      <c r="AI44" s="57"/>
      <c r="AJ44" s="57"/>
    </row>
    <row r="45" spans="1:36" ht="12.75" customHeight="1" x14ac:dyDescent="0.2">
      <c r="A45" s="55" t="s">
        <v>1104</v>
      </c>
      <c r="B45" s="56" t="s">
        <v>1098</v>
      </c>
      <c r="C45" s="77">
        <v>0</v>
      </c>
      <c r="E45" s="77">
        <v>0</v>
      </c>
      <c r="G45" s="77">
        <v>0</v>
      </c>
      <c r="I45" s="77">
        <v>0</v>
      </c>
      <c r="K45" s="77">
        <v>0</v>
      </c>
      <c r="M45" s="77">
        <v>0</v>
      </c>
      <c r="O45" s="77">
        <v>0</v>
      </c>
      <c r="Q45" s="77">
        <f t="shared" si="0"/>
        <v>0</v>
      </c>
      <c r="S45" s="77">
        <v>0</v>
      </c>
      <c r="U45" s="77">
        <v>220000</v>
      </c>
      <c r="W45" s="77">
        <v>220000</v>
      </c>
      <c r="Y45" s="77">
        <f t="shared" si="1"/>
        <v>220000</v>
      </c>
      <c r="Z45" s="57"/>
      <c r="AA45" s="58" t="e">
        <f t="shared" si="2"/>
        <v>#DIV/0!</v>
      </c>
      <c r="AB45" s="57"/>
      <c r="AC45" s="77">
        <f t="shared" si="3"/>
        <v>220000</v>
      </c>
      <c r="AD45" s="57"/>
      <c r="AE45" s="58" t="e">
        <f t="shared" si="4"/>
        <v>#DIV/0!</v>
      </c>
      <c r="AF45" s="57"/>
      <c r="AG45" s="57"/>
      <c r="AH45" s="57"/>
      <c r="AI45" s="57"/>
      <c r="AJ45" s="57"/>
    </row>
    <row r="46" spans="1:36" ht="12.75" customHeight="1" x14ac:dyDescent="0.2">
      <c r="A46" s="59" t="s">
        <v>1129</v>
      </c>
      <c r="B46" s="60" t="s">
        <v>1130</v>
      </c>
      <c r="C46" s="79">
        <v>0</v>
      </c>
      <c r="D46" s="80"/>
      <c r="E46" s="79">
        <v>0</v>
      </c>
      <c r="F46" s="80"/>
      <c r="G46" s="79">
        <v>0</v>
      </c>
      <c r="H46" s="79"/>
      <c r="I46" s="79">
        <v>0</v>
      </c>
      <c r="J46" s="79"/>
      <c r="K46" s="79">
        <v>0</v>
      </c>
      <c r="L46" s="79"/>
      <c r="M46" s="79">
        <v>0</v>
      </c>
      <c r="N46" s="79"/>
      <c r="O46" s="79">
        <v>0</v>
      </c>
      <c r="P46" s="79"/>
      <c r="Q46" s="79">
        <f>SUM(M46,O46)</f>
        <v>0</v>
      </c>
      <c r="R46" s="79"/>
      <c r="S46" s="79">
        <v>0</v>
      </c>
      <c r="T46" s="79"/>
      <c r="U46" s="79">
        <v>200000</v>
      </c>
      <c r="V46" s="79"/>
      <c r="W46" s="79">
        <v>200000</v>
      </c>
      <c r="X46" s="79"/>
      <c r="Y46" s="79">
        <f>SUM(W46,-I46)</f>
        <v>200000</v>
      </c>
      <c r="Z46" s="62"/>
      <c r="AA46" s="63" t="e">
        <f>IF(W46=0,"N/A",PRODUCT(Y46,1/I46))</f>
        <v>#DIV/0!</v>
      </c>
      <c r="AB46" s="62"/>
      <c r="AC46" s="79">
        <f>SUM(W46,-Q46)</f>
        <v>200000</v>
      </c>
      <c r="AD46" s="62"/>
      <c r="AE46" s="63" t="e">
        <f>IF(W46=0,"N/A",PRODUCT(AC46,1/Q46))</f>
        <v>#DIV/0!</v>
      </c>
      <c r="AF46" s="57"/>
      <c r="AG46" s="57"/>
      <c r="AH46" s="57"/>
      <c r="AI46" s="57"/>
      <c r="AJ46" s="57"/>
    </row>
    <row r="47" spans="1:36" ht="12.75" customHeight="1" x14ac:dyDescent="0.2">
      <c r="A47" s="64" t="s">
        <v>459</v>
      </c>
      <c r="C47" s="81">
        <f>SUM(C36:C46)</f>
        <v>1044578.44</v>
      </c>
      <c r="E47" s="81">
        <f>SUM(E36:E46)</f>
        <v>1947314.29</v>
      </c>
      <c r="G47" s="81">
        <f>SUM(G36:G46)</f>
        <v>1900767.75</v>
      </c>
      <c r="I47" s="81">
        <f>SUM(I36:I46)</f>
        <v>4050000</v>
      </c>
      <c r="K47" s="81">
        <f>SUM(K36:K46)</f>
        <v>4050000</v>
      </c>
      <c r="M47" s="81">
        <f>SUM(M36:M46)</f>
        <v>938842.48</v>
      </c>
      <c r="O47" s="81">
        <f>SUM(O36:O46)</f>
        <v>0</v>
      </c>
      <c r="Q47" s="81">
        <f>SUM(Q36:Q46)</f>
        <v>938842.48</v>
      </c>
      <c r="S47" s="81">
        <f>SUM(S36:S46)</f>
        <v>16850000</v>
      </c>
      <c r="U47" s="81">
        <f>SUM(U36:U46)</f>
        <v>17440000</v>
      </c>
      <c r="W47" s="81">
        <f>SUM(W36:W46)</f>
        <v>13540000</v>
      </c>
      <c r="Y47" s="81">
        <f>SUM(Y36:Y46)</f>
        <v>9490000</v>
      </c>
      <c r="Z47" s="57"/>
      <c r="AA47" s="65">
        <f t="shared" si="2"/>
        <v>2.3432098765432099</v>
      </c>
      <c r="AB47" s="57"/>
      <c r="AC47" s="81">
        <f>SUM(AC36:AC46)</f>
        <v>12601157.52</v>
      </c>
      <c r="AD47" s="57"/>
      <c r="AE47" s="65">
        <f t="shared" si="4"/>
        <v>13.422014649358433</v>
      </c>
      <c r="AF47" s="57"/>
      <c r="AG47" s="57"/>
      <c r="AH47" s="57"/>
      <c r="AI47" s="57"/>
      <c r="AJ47" s="57"/>
    </row>
    <row r="48" spans="1:36" ht="12.75" customHeight="1" x14ac:dyDescent="0.2">
      <c r="Z48" s="57"/>
      <c r="AB48" s="57"/>
      <c r="AD48" s="57"/>
      <c r="AF48" s="57"/>
      <c r="AG48" s="57"/>
      <c r="AH48" s="57"/>
      <c r="AI48" s="57"/>
      <c r="AJ48" s="57"/>
    </row>
    <row r="49" spans="1:36" ht="12.75" customHeight="1" x14ac:dyDescent="0.2">
      <c r="A49" s="54" t="s">
        <v>1366</v>
      </c>
      <c r="Z49" s="57"/>
      <c r="AB49" s="57"/>
      <c r="AD49" s="57"/>
      <c r="AF49" s="57"/>
      <c r="AG49" s="57"/>
      <c r="AH49" s="57"/>
      <c r="AI49" s="57"/>
      <c r="AJ49" s="57"/>
    </row>
    <row r="50" spans="1:36" ht="12.75" customHeight="1" x14ac:dyDescent="0.2">
      <c r="A50" s="59" t="s">
        <v>1410</v>
      </c>
      <c r="B50" s="60" t="s">
        <v>1143</v>
      </c>
      <c r="C50" s="79">
        <v>0</v>
      </c>
      <c r="D50" s="80"/>
      <c r="E50" s="79">
        <v>0</v>
      </c>
      <c r="F50" s="80"/>
      <c r="G50" s="79">
        <v>0</v>
      </c>
      <c r="H50" s="79"/>
      <c r="I50" s="79">
        <v>0</v>
      </c>
      <c r="J50" s="79"/>
      <c r="K50" s="79">
        <v>0</v>
      </c>
      <c r="L50" s="79"/>
      <c r="M50" s="79">
        <v>0</v>
      </c>
      <c r="N50" s="79"/>
      <c r="O50" s="79">
        <v>0</v>
      </c>
      <c r="P50" s="79"/>
      <c r="Q50" s="79">
        <f>SUM(M50,O50)</f>
        <v>0</v>
      </c>
      <c r="R50" s="79"/>
      <c r="S50" s="79">
        <v>0</v>
      </c>
      <c r="T50" s="79"/>
      <c r="U50" s="79">
        <v>0</v>
      </c>
      <c r="V50" s="79"/>
      <c r="W50" s="79">
        <v>4500000</v>
      </c>
      <c r="X50" s="79"/>
      <c r="Y50" s="79">
        <f>SUM(W50,-I50)</f>
        <v>4500000</v>
      </c>
      <c r="Z50" s="62"/>
      <c r="AA50" s="63" t="e">
        <f>IF(W50=0,"N/A",PRODUCT(Y50,1/I50))</f>
        <v>#DIV/0!</v>
      </c>
      <c r="AB50" s="62"/>
      <c r="AC50" s="79">
        <f>SUM(W50,-Q50)</f>
        <v>4500000</v>
      </c>
      <c r="AD50" s="62"/>
      <c r="AE50" s="63" t="e">
        <f>IF(W50=0,"N/A",PRODUCT(AC50,1/Q50))</f>
        <v>#DIV/0!</v>
      </c>
      <c r="AF50" s="57"/>
      <c r="AG50" s="57"/>
      <c r="AH50" s="57"/>
      <c r="AI50" s="57"/>
      <c r="AJ50" s="57"/>
    </row>
    <row r="51" spans="1:36" ht="12.75" customHeight="1" x14ac:dyDescent="0.2">
      <c r="A51" s="64" t="s">
        <v>1367</v>
      </c>
      <c r="C51" s="81">
        <f>SUM(C50:C50)</f>
        <v>0</v>
      </c>
      <c r="E51" s="81">
        <f>SUM(E50:E50)</f>
        <v>0</v>
      </c>
      <c r="G51" s="81">
        <f>SUM(G50:G50)</f>
        <v>0</v>
      </c>
      <c r="I51" s="81">
        <f>SUM(I50:I50)</f>
        <v>0</v>
      </c>
      <c r="K51" s="81">
        <f>SUM(K50:K50)</f>
        <v>0</v>
      </c>
      <c r="M51" s="81">
        <f>SUM(M50:M50)</f>
        <v>0</v>
      </c>
      <c r="O51" s="81">
        <f>SUM(O50:O50)</f>
        <v>0</v>
      </c>
      <c r="Q51" s="81">
        <f>SUM(Q50:Q50)</f>
        <v>0</v>
      </c>
      <c r="S51" s="81">
        <f>SUM(S50:S50)</f>
        <v>0</v>
      </c>
      <c r="U51" s="81">
        <f>SUM(U50:U50)</f>
        <v>0</v>
      </c>
      <c r="W51" s="81">
        <f>SUM(W50:W50)</f>
        <v>4500000</v>
      </c>
      <c r="Y51" s="81">
        <f>SUM(Y50:Y50)</f>
        <v>4500000</v>
      </c>
      <c r="Z51" s="57"/>
      <c r="AA51" s="65" t="e">
        <f>IF(W51=0,"N/A",PRODUCT(Y51,1/I51))</f>
        <v>#DIV/0!</v>
      </c>
      <c r="AB51" s="57"/>
      <c r="AC51" s="81">
        <f>SUM(AC50:AC50)</f>
        <v>4500000</v>
      </c>
      <c r="AD51" s="57"/>
      <c r="AE51" s="65" t="e">
        <f>IF(W51=0,"N/A",PRODUCT(AC51,1/Q51))</f>
        <v>#DIV/0!</v>
      </c>
      <c r="AF51" s="57"/>
      <c r="AG51" s="57"/>
      <c r="AH51" s="57"/>
      <c r="AI51" s="57"/>
      <c r="AJ51" s="57"/>
    </row>
    <row r="52" spans="1:36" ht="12.75" customHeight="1" x14ac:dyDescent="0.2">
      <c r="Z52" s="57"/>
      <c r="AB52" s="57"/>
      <c r="AD52" s="57"/>
      <c r="AF52" s="57"/>
      <c r="AG52" s="57"/>
      <c r="AH52" s="57"/>
      <c r="AI52" s="57"/>
      <c r="AJ52" s="57"/>
    </row>
    <row r="53" spans="1:36" ht="12.75" customHeight="1" thickBot="1" x14ac:dyDescent="0.25">
      <c r="A53" s="67" t="s">
        <v>832</v>
      </c>
      <c r="C53" s="83">
        <f>SUM(C33,C47,C51)</f>
        <v>1044578.44</v>
      </c>
      <c r="E53" s="83">
        <f>SUM(E33,E47,E51)</f>
        <v>2065494.42</v>
      </c>
      <c r="G53" s="83">
        <f>SUM(G33,G47,G51)</f>
        <v>1900767.75</v>
      </c>
      <c r="I53" s="83">
        <f>SUM(I33,I47,I51)</f>
        <v>4200000</v>
      </c>
      <c r="K53" s="83">
        <f>SUM(K33,K47,K51)</f>
        <v>4200000</v>
      </c>
      <c r="M53" s="82">
        <f>SUM(M33,M47,M51)</f>
        <v>1282704.69</v>
      </c>
      <c r="O53" s="82">
        <f>SUM(O33,O47,O51)</f>
        <v>0</v>
      </c>
      <c r="Q53" s="83">
        <f>SUM(Q33,Q47,Q51)</f>
        <v>1282704.69</v>
      </c>
      <c r="S53" s="82">
        <f>SUM(S33,S47,S51)</f>
        <v>16850000</v>
      </c>
      <c r="U53" s="82">
        <f>SUM(U33,U47,U51)</f>
        <v>17440000</v>
      </c>
      <c r="W53" s="83">
        <f>SUM(W33,W47,W51)</f>
        <v>18040000</v>
      </c>
      <c r="Y53" s="82">
        <f>SUM(Y33,Y47,Y51)</f>
        <v>13840000</v>
      </c>
      <c r="Z53" s="57"/>
      <c r="AA53" s="125">
        <f>IF(W53=0,"N/A",PRODUCT(Y53,1/I53))</f>
        <v>3.2952380952380951</v>
      </c>
      <c r="AB53" s="57"/>
      <c r="AC53" s="82">
        <f>SUM(AC33,AC47,AC51)</f>
        <v>16757295.309999999</v>
      </c>
      <c r="AD53" s="57"/>
      <c r="AE53" s="125">
        <f>IF(W53=0,"N/A",PRODUCT(AC53,1/Q53))</f>
        <v>13.064032150689338</v>
      </c>
      <c r="AF53" s="57"/>
      <c r="AG53" s="57"/>
      <c r="AH53" s="57"/>
      <c r="AI53" s="57"/>
      <c r="AJ53" s="57"/>
    </row>
    <row r="54" spans="1:36" ht="12.75" customHeight="1" thickTop="1" x14ac:dyDescent="0.2">
      <c r="Z54" s="57"/>
      <c r="AB54" s="57"/>
      <c r="AD54" s="57"/>
      <c r="AF54" s="57"/>
      <c r="AG54" s="57"/>
      <c r="AH54" s="57"/>
      <c r="AI54" s="57"/>
      <c r="AJ54" s="57"/>
    </row>
    <row r="55" spans="1:36" ht="12.75" customHeight="1" x14ac:dyDescent="0.2">
      <c r="Z55" s="57"/>
      <c r="AB55" s="57"/>
      <c r="AD55" s="57"/>
      <c r="AF55" s="57"/>
      <c r="AG55" s="57"/>
      <c r="AH55" s="57"/>
      <c r="AI55" s="57"/>
      <c r="AJ55" s="57"/>
    </row>
    <row r="56" spans="1:36" ht="12.75" customHeight="1" x14ac:dyDescent="0.2">
      <c r="Z56" s="57"/>
      <c r="AB56" s="57"/>
      <c r="AD56" s="57"/>
      <c r="AF56" s="57"/>
      <c r="AG56" s="57"/>
      <c r="AH56" s="57"/>
      <c r="AI56" s="57"/>
      <c r="AJ56" s="57"/>
    </row>
    <row r="57" spans="1:36" ht="12.75" customHeight="1" x14ac:dyDescent="0.2">
      <c r="A57" s="67" t="s">
        <v>786</v>
      </c>
      <c r="C57" s="88">
        <f>SUM(C24,-C53)</f>
        <v>-185570.89999999991</v>
      </c>
      <c r="E57" s="88">
        <f>SUM(E24,-E53)</f>
        <v>2058956.0300000003</v>
      </c>
      <c r="G57" s="88">
        <f>SUM(G24,-G53)</f>
        <v>-1742474.5</v>
      </c>
      <c r="I57" s="88">
        <f>SUM(I24,-I53)</f>
        <v>50000</v>
      </c>
      <c r="K57" s="88">
        <f>SUM(K24,-K53)</f>
        <v>50000</v>
      </c>
      <c r="M57" s="88">
        <f>SUM(M24,-M53)</f>
        <v>11489466.73</v>
      </c>
      <c r="O57" s="88">
        <f>SUM(O24,-O53)</f>
        <v>0</v>
      </c>
      <c r="Q57" s="88">
        <f>SUM(Q24,-Q53)</f>
        <v>11489466.73</v>
      </c>
      <c r="S57" s="88">
        <f>SUM(S24,-S53)</f>
        <v>-16805000</v>
      </c>
      <c r="U57" s="88">
        <f>SUM(U24,-U53)</f>
        <v>-17395000</v>
      </c>
      <c r="W57" s="88">
        <f>SUM(W24,-W53)</f>
        <v>0</v>
      </c>
      <c r="Y57" s="88"/>
      <c r="Z57" s="57"/>
      <c r="AA57" s="65"/>
      <c r="AB57" s="57"/>
      <c r="AC57" s="88"/>
      <c r="AD57" s="57"/>
      <c r="AE57" s="65"/>
      <c r="AF57" s="57"/>
      <c r="AG57" s="57"/>
      <c r="AH57" s="57"/>
      <c r="AI57" s="57"/>
      <c r="AJ57" s="57"/>
    </row>
    <row r="58" spans="1:36" ht="12.75" customHeight="1" x14ac:dyDescent="0.2">
      <c r="Z58" s="57"/>
      <c r="AB58" s="57"/>
      <c r="AD58" s="57"/>
      <c r="AF58" s="57"/>
      <c r="AG58" s="57"/>
      <c r="AH58" s="57"/>
      <c r="AI58" s="57"/>
      <c r="AJ58" s="57"/>
    </row>
    <row r="59" spans="1:36" ht="12.75" customHeight="1" x14ac:dyDescent="0.2">
      <c r="A59" s="70" t="s">
        <v>787</v>
      </c>
      <c r="C59" s="77">
        <v>185607.21</v>
      </c>
      <c r="E59" s="77">
        <f>C63</f>
        <v>36.310000000084983</v>
      </c>
      <c r="G59" s="77">
        <f>E63</f>
        <v>2058992.3400000003</v>
      </c>
      <c r="I59" s="77">
        <f>G63</f>
        <v>316517.84000000032</v>
      </c>
      <c r="K59" s="77">
        <f>G63</f>
        <v>316517.84000000032</v>
      </c>
      <c r="Q59" s="77">
        <f>G63</f>
        <v>316517.84000000032</v>
      </c>
      <c r="W59" s="77">
        <f>Q63</f>
        <v>11805984.57</v>
      </c>
      <c r="Z59" s="57"/>
      <c r="AB59" s="57"/>
      <c r="AD59" s="57"/>
      <c r="AF59" s="57"/>
      <c r="AG59" s="57"/>
      <c r="AH59" s="57"/>
      <c r="AI59" s="57"/>
      <c r="AJ59" s="57"/>
    </row>
    <row r="60" spans="1:36" ht="12.75" customHeight="1" x14ac:dyDescent="0.2">
      <c r="Z60" s="57"/>
      <c r="AB60" s="57"/>
      <c r="AD60" s="57"/>
      <c r="AF60" s="57"/>
      <c r="AG60" s="57"/>
      <c r="AH60" s="57"/>
      <c r="AI60" s="57"/>
      <c r="AJ60" s="57"/>
    </row>
    <row r="61" spans="1:36" ht="12.75" customHeight="1" x14ac:dyDescent="0.2">
      <c r="A61" s="70" t="s">
        <v>788</v>
      </c>
      <c r="C61" s="77">
        <f>-C21</f>
        <v>0</v>
      </c>
      <c r="E61" s="77">
        <f>-E21</f>
        <v>0</v>
      </c>
      <c r="G61" s="77">
        <f>-G21</f>
        <v>0</v>
      </c>
      <c r="I61" s="77">
        <f>-I21</f>
        <v>0</v>
      </c>
      <c r="K61" s="77">
        <f>-K21</f>
        <v>0</v>
      </c>
      <c r="Q61" s="77">
        <f>-Q21</f>
        <v>0</v>
      </c>
      <c r="W61" s="77">
        <f>-W21</f>
        <v>-8995000</v>
      </c>
      <c r="Z61" s="57"/>
      <c r="AB61" s="57"/>
      <c r="AD61" s="57"/>
      <c r="AF61" s="57"/>
      <c r="AG61" s="57"/>
      <c r="AH61" s="57"/>
      <c r="AI61" s="57"/>
      <c r="AJ61" s="57"/>
    </row>
    <row r="62" spans="1:36" ht="12.75" customHeight="1" x14ac:dyDescent="0.2">
      <c r="Z62" s="57"/>
      <c r="AB62" s="57"/>
      <c r="AD62" s="57"/>
      <c r="AF62" s="57"/>
      <c r="AG62" s="57"/>
      <c r="AH62" s="57"/>
      <c r="AI62" s="57"/>
      <c r="AJ62" s="57"/>
    </row>
    <row r="63" spans="1:36" ht="12.75" customHeight="1" thickBot="1" x14ac:dyDescent="0.25">
      <c r="A63" s="67" t="s">
        <v>789</v>
      </c>
      <c r="C63" s="83">
        <f>SUM(C57,C59,C61)</f>
        <v>36.310000000084983</v>
      </c>
      <c r="E63" s="83">
        <f>SUM(E57,E59,E61)</f>
        <v>2058992.3400000003</v>
      </c>
      <c r="G63" s="83">
        <f>SUM(G57,G59,G61)</f>
        <v>316517.84000000032</v>
      </c>
      <c r="I63" s="83">
        <f>SUM(I57,I59,I61)</f>
        <v>366517.84000000032</v>
      </c>
      <c r="K63" s="83">
        <f>SUM(K57,K59,K61)</f>
        <v>366517.84000000032</v>
      </c>
      <c r="M63" s="88"/>
      <c r="O63" s="88"/>
      <c r="Q63" s="83">
        <f>SUM(Q57,Q59,Q61)</f>
        <v>11805984.57</v>
      </c>
      <c r="S63" s="88"/>
      <c r="U63" s="88"/>
      <c r="W63" s="83">
        <f>SUM(W57,W59,W61)</f>
        <v>2810984.5700000003</v>
      </c>
      <c r="Y63" s="88"/>
      <c r="Z63" s="57"/>
      <c r="AA63" s="65"/>
      <c r="AB63" s="57"/>
      <c r="AC63" s="88"/>
      <c r="AD63" s="57"/>
      <c r="AE63" s="65"/>
      <c r="AF63" s="57"/>
      <c r="AG63" s="57"/>
      <c r="AH63" s="57"/>
      <c r="AI63" s="57"/>
      <c r="AJ63" s="57"/>
    </row>
    <row r="64" spans="1:36" ht="12.75" customHeight="1" thickTop="1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ht="12.75" customHeight="1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ht="12.75" customHeight="1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ht="12.75" customHeight="1" x14ac:dyDescent="0.2">
      <c r="Z67" s="57"/>
      <c r="AB67" s="57"/>
      <c r="AD67" s="57"/>
      <c r="AF67" s="57"/>
      <c r="AG67" s="57"/>
      <c r="AH67" s="57"/>
      <c r="AI67" s="57"/>
      <c r="AJ67" s="57"/>
    </row>
    <row r="68" spans="26:36" ht="12.75" customHeight="1" x14ac:dyDescent="0.2">
      <c r="Z68" s="57"/>
      <c r="AB68" s="57"/>
      <c r="AD68" s="57"/>
      <c r="AF68" s="57"/>
      <c r="AG68" s="57"/>
      <c r="AH68" s="57"/>
      <c r="AI68" s="57"/>
      <c r="AJ68" s="57"/>
    </row>
    <row r="69" spans="26:36" ht="12.75" customHeight="1" x14ac:dyDescent="0.2">
      <c r="Z69" s="57"/>
      <c r="AB69" s="57"/>
      <c r="AD69" s="57"/>
      <c r="AF69" s="57"/>
      <c r="AG69" s="57"/>
      <c r="AH69" s="57"/>
      <c r="AI69" s="57"/>
      <c r="AJ69" s="57"/>
    </row>
    <row r="70" spans="26:36" ht="12.75" customHeight="1" x14ac:dyDescent="0.2">
      <c r="Z70" s="57"/>
      <c r="AB70" s="57"/>
      <c r="AD70" s="57"/>
      <c r="AF70" s="57"/>
      <c r="AG70" s="57"/>
      <c r="AH70" s="57"/>
      <c r="AI70" s="57"/>
      <c r="AJ70" s="57"/>
    </row>
    <row r="71" spans="26:36" ht="12.75" customHeight="1" x14ac:dyDescent="0.2">
      <c r="Z71" s="57"/>
      <c r="AB71" s="57"/>
      <c r="AD71" s="57"/>
      <c r="AF71" s="57"/>
      <c r="AG71" s="57"/>
      <c r="AH71" s="57"/>
      <c r="AI71" s="57"/>
      <c r="AJ71" s="57"/>
    </row>
    <row r="72" spans="26:36" ht="12.75" customHeight="1" x14ac:dyDescent="0.2">
      <c r="Z72" s="57"/>
      <c r="AB72" s="57"/>
      <c r="AD72" s="57"/>
      <c r="AF72" s="57"/>
      <c r="AG72" s="57"/>
      <c r="AH72" s="57"/>
      <c r="AI72" s="57"/>
      <c r="AJ72" s="57"/>
    </row>
    <row r="73" spans="26:36" x14ac:dyDescent="0.2">
      <c r="Z73" s="57"/>
      <c r="AB73" s="57"/>
      <c r="AD73" s="57"/>
      <c r="AF73" s="57"/>
      <c r="AG73" s="57"/>
      <c r="AH73" s="57"/>
      <c r="AI73" s="57"/>
      <c r="AJ73" s="57"/>
    </row>
    <row r="74" spans="26:36" x14ac:dyDescent="0.2">
      <c r="Z74" s="57"/>
      <c r="AB74" s="57"/>
      <c r="AD74" s="57"/>
      <c r="AF74" s="57"/>
      <c r="AG74" s="57"/>
      <c r="AH74" s="57"/>
      <c r="AI74" s="57"/>
      <c r="AJ74" s="57"/>
    </row>
    <row r="75" spans="26:36" x14ac:dyDescent="0.2">
      <c r="Z75" s="57"/>
      <c r="AB75" s="57"/>
      <c r="AD75" s="57"/>
      <c r="AF75" s="57"/>
      <c r="AG75" s="57"/>
      <c r="AH75" s="57"/>
      <c r="AI75" s="57"/>
      <c r="AJ75" s="57"/>
    </row>
    <row r="76" spans="26:36" x14ac:dyDescent="0.2">
      <c r="Z76" s="57"/>
      <c r="AB76" s="57"/>
      <c r="AD76" s="57"/>
      <c r="AF76" s="57"/>
      <c r="AG76" s="57"/>
      <c r="AH76" s="57"/>
      <c r="AI76" s="57"/>
      <c r="AJ76" s="57"/>
    </row>
    <row r="77" spans="26:36" x14ac:dyDescent="0.2">
      <c r="Z77" s="57"/>
      <c r="AB77" s="57"/>
      <c r="AD77" s="57"/>
      <c r="AF77" s="57"/>
      <c r="AG77" s="57"/>
      <c r="AH77" s="57"/>
      <c r="AI77" s="57"/>
      <c r="AJ77" s="57"/>
    </row>
    <row r="78" spans="26:36" x14ac:dyDescent="0.2">
      <c r="Z78" s="57"/>
      <c r="AB78" s="57"/>
      <c r="AD78" s="57"/>
      <c r="AF78" s="57"/>
      <c r="AG78" s="57"/>
      <c r="AH78" s="57"/>
      <c r="AI78" s="57"/>
      <c r="AJ78" s="57"/>
    </row>
    <row r="79" spans="26:36" x14ac:dyDescent="0.2">
      <c r="Z79" s="57"/>
      <c r="AB79" s="57"/>
      <c r="AD79" s="57"/>
      <c r="AF79" s="57"/>
      <c r="AG79" s="57"/>
      <c r="AH79" s="57"/>
      <c r="AI79" s="57"/>
      <c r="AJ79" s="57"/>
    </row>
    <row r="80" spans="26:36" x14ac:dyDescent="0.2">
      <c r="Z80" s="57"/>
      <c r="AB80" s="57"/>
      <c r="AD80" s="57"/>
      <c r="AF80" s="57"/>
      <c r="AG80" s="57"/>
      <c r="AH80" s="57"/>
      <c r="AI80" s="57"/>
      <c r="AJ80" s="57"/>
    </row>
    <row r="81" spans="26:36" x14ac:dyDescent="0.2">
      <c r="Z81" s="57"/>
      <c r="AB81" s="57"/>
      <c r="AD81" s="57"/>
      <c r="AF81" s="57"/>
      <c r="AG81" s="57"/>
      <c r="AH81" s="57"/>
      <c r="AI81" s="57"/>
      <c r="AJ81" s="57"/>
    </row>
    <row r="82" spans="26:36" x14ac:dyDescent="0.2">
      <c r="Z82" s="57"/>
      <c r="AB82" s="57"/>
      <c r="AD82" s="57"/>
      <c r="AF82" s="57"/>
      <c r="AG82" s="57"/>
      <c r="AH82" s="57"/>
      <c r="AI82" s="57"/>
      <c r="AJ82" s="57"/>
    </row>
    <row r="83" spans="26:36" x14ac:dyDescent="0.2">
      <c r="Z83" s="57"/>
      <c r="AB83" s="57"/>
      <c r="AD83" s="57"/>
      <c r="AF83" s="57"/>
      <c r="AG83" s="57"/>
      <c r="AH83" s="57"/>
      <c r="AI83" s="57"/>
      <c r="AJ83" s="57"/>
    </row>
    <row r="84" spans="26:36" x14ac:dyDescent="0.2">
      <c r="Z84" s="57"/>
      <c r="AB84" s="57"/>
      <c r="AD84" s="57"/>
      <c r="AF84" s="57"/>
      <c r="AG84" s="57"/>
      <c r="AH84" s="57"/>
      <c r="AI84" s="57"/>
      <c r="AJ84" s="57"/>
    </row>
    <row r="85" spans="26:36" x14ac:dyDescent="0.2">
      <c r="Z85" s="57"/>
      <c r="AB85" s="57"/>
      <c r="AD85" s="57"/>
      <c r="AF85" s="57"/>
      <c r="AG85" s="57"/>
      <c r="AH85" s="57"/>
      <c r="AI85" s="57"/>
      <c r="AJ85" s="57"/>
    </row>
    <row r="86" spans="26:36" x14ac:dyDescent="0.2">
      <c r="Z86" s="57"/>
      <c r="AB86" s="57"/>
      <c r="AD86" s="57"/>
      <c r="AF86" s="57"/>
      <c r="AG86" s="57"/>
      <c r="AH86" s="57"/>
      <c r="AI86" s="57"/>
      <c r="AJ86" s="57"/>
    </row>
    <row r="87" spans="26:36" x14ac:dyDescent="0.2">
      <c r="Z87" s="57"/>
      <c r="AB87" s="57"/>
      <c r="AD87" s="57"/>
      <c r="AF87" s="57"/>
      <c r="AG87" s="57"/>
      <c r="AH87" s="57"/>
      <c r="AI87" s="57"/>
      <c r="AJ87" s="57"/>
    </row>
    <row r="88" spans="26:36" x14ac:dyDescent="0.2">
      <c r="Z88" s="57"/>
      <c r="AB88" s="57"/>
      <c r="AD88" s="57"/>
      <c r="AF88" s="57"/>
      <c r="AG88" s="57"/>
      <c r="AH88" s="57"/>
      <c r="AI88" s="57"/>
      <c r="AJ88" s="57"/>
    </row>
    <row r="89" spans="26:36" x14ac:dyDescent="0.2">
      <c r="Z89" s="57"/>
      <c r="AB89" s="57"/>
      <c r="AD89" s="57"/>
      <c r="AF89" s="57"/>
      <c r="AG89" s="57"/>
      <c r="AH89" s="57"/>
      <c r="AI89" s="57"/>
      <c r="AJ89" s="57"/>
    </row>
    <row r="90" spans="26:36" x14ac:dyDescent="0.2">
      <c r="Z90" s="57"/>
      <c r="AB90" s="57"/>
      <c r="AD90" s="57"/>
      <c r="AF90" s="57"/>
      <c r="AG90" s="57"/>
      <c r="AH90" s="57"/>
      <c r="AI90" s="57"/>
      <c r="AJ90" s="57"/>
    </row>
    <row r="91" spans="26:36" x14ac:dyDescent="0.2">
      <c r="Z91" s="57"/>
      <c r="AB91" s="57"/>
      <c r="AD91" s="57"/>
      <c r="AF91" s="57"/>
      <c r="AG91" s="57"/>
      <c r="AH91" s="57"/>
      <c r="AI91" s="57"/>
      <c r="AJ91" s="57"/>
    </row>
    <row r="92" spans="26:36" x14ac:dyDescent="0.2">
      <c r="Z92" s="57"/>
      <c r="AB92" s="57"/>
      <c r="AD92" s="57"/>
      <c r="AF92" s="57"/>
      <c r="AG92" s="57"/>
      <c r="AH92" s="57"/>
      <c r="AI92" s="57"/>
      <c r="AJ92" s="57"/>
    </row>
    <row r="93" spans="26:36" x14ac:dyDescent="0.2">
      <c r="Z93" s="57"/>
      <c r="AB93" s="57"/>
      <c r="AD93" s="57"/>
      <c r="AF93" s="57"/>
      <c r="AG93" s="57"/>
      <c r="AH93" s="57"/>
      <c r="AI93" s="57"/>
      <c r="AJ93" s="57"/>
    </row>
    <row r="94" spans="26:36" x14ac:dyDescent="0.2">
      <c r="Z94" s="57"/>
      <c r="AB94" s="57"/>
      <c r="AD94" s="57"/>
      <c r="AF94" s="57"/>
      <c r="AG94" s="57"/>
      <c r="AH94" s="57"/>
      <c r="AI94" s="57"/>
      <c r="AJ94" s="57"/>
    </row>
    <row r="95" spans="26:36" x14ac:dyDescent="0.2">
      <c r="Z95" s="57"/>
      <c r="AB95" s="57"/>
      <c r="AD95" s="57"/>
      <c r="AF95" s="57"/>
      <c r="AG95" s="57"/>
      <c r="AH95" s="57"/>
      <c r="AI95" s="57"/>
      <c r="AJ95" s="57"/>
    </row>
    <row r="96" spans="26:36" x14ac:dyDescent="0.2">
      <c r="Z96" s="57"/>
      <c r="AB96" s="57"/>
      <c r="AD96" s="57"/>
      <c r="AF96" s="57"/>
      <c r="AG96" s="57"/>
      <c r="AH96" s="57"/>
      <c r="AI96" s="57"/>
      <c r="AJ96" s="5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1278-E560-451C-87A1-90DD13771C6B}">
  <sheetPr>
    <tabColor rgb="FF92D050"/>
  </sheetPr>
  <dimension ref="A1:AJ86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6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47" t="s">
        <v>1070</v>
      </c>
      <c r="AC1" s="107" t="s">
        <v>1067</v>
      </c>
      <c r="AE1" s="47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47" t="s">
        <v>1068</v>
      </c>
      <c r="AC2" s="107" t="s">
        <v>1068</v>
      </c>
      <c r="AE2" s="47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47" t="s">
        <v>1069</v>
      </c>
      <c r="AC3" s="107" t="s">
        <v>1071</v>
      </c>
      <c r="AE3" s="47" t="s">
        <v>1071</v>
      </c>
      <c r="AF3" s="48"/>
    </row>
    <row r="4" spans="1:36" s="51" customFormat="1" ht="12.75" customHeight="1" x14ac:dyDescent="0.2">
      <c r="A4" s="50" t="s">
        <v>833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2"/>
      <c r="AB4" s="52"/>
      <c r="AC4" s="106"/>
      <c r="AD4" s="52"/>
      <c r="AE4" s="52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1359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2"/>
      <c r="AB5" s="52"/>
      <c r="AC5" s="106"/>
      <c r="AD5" s="52"/>
      <c r="AE5" s="52"/>
      <c r="AF5" s="52"/>
      <c r="AG5" s="52"/>
      <c r="AH5" s="52"/>
      <c r="AI5" s="52"/>
      <c r="AJ5" s="52"/>
    </row>
    <row r="6" spans="1:36" ht="12.75" customHeight="1" x14ac:dyDescent="0.2">
      <c r="A6" s="55" t="s">
        <v>834</v>
      </c>
      <c r="B6" s="56" t="s">
        <v>835</v>
      </c>
      <c r="C6" s="77">
        <v>838175.31</v>
      </c>
      <c r="E6" s="77">
        <v>821915.55</v>
      </c>
      <c r="G6" s="77">
        <v>1068736.24</v>
      </c>
      <c r="I6" s="77">
        <v>1697750</v>
      </c>
      <c r="K6" s="77">
        <v>1697750</v>
      </c>
      <c r="M6" s="77">
        <v>1706534.32</v>
      </c>
      <c r="O6" s="77">
        <v>0</v>
      </c>
      <c r="Q6" s="77">
        <f>SUM(M6,O6)</f>
        <v>1706534.32</v>
      </c>
      <c r="S6" s="77">
        <v>2323842</v>
      </c>
      <c r="U6" s="77">
        <v>2323842</v>
      </c>
      <c r="W6" s="77">
        <v>2323842</v>
      </c>
      <c r="Y6" s="77">
        <f>SUM(W6,-I6)</f>
        <v>626092</v>
      </c>
      <c r="Z6" s="57"/>
      <c r="AA6" s="58">
        <f>IF(W6=0,"N/A",PRODUCT(Y6,1/I6))</f>
        <v>0.36877749963186568</v>
      </c>
      <c r="AB6" s="57"/>
      <c r="AC6" s="77">
        <f>SUM(W6,-Q6)</f>
        <v>617307.67999999993</v>
      </c>
      <c r="AD6" s="57"/>
      <c r="AE6" s="58">
        <f>IF(W6=0,"N/A",PRODUCT(AC6,1/Q6))</f>
        <v>0.36173176991834538</v>
      </c>
      <c r="AF6" s="57"/>
      <c r="AG6" s="57"/>
      <c r="AH6" s="57"/>
      <c r="AI6" s="57"/>
      <c r="AJ6" s="57"/>
    </row>
    <row r="7" spans="1:36" ht="12.75" customHeight="1" x14ac:dyDescent="0.2">
      <c r="A7" s="59" t="s">
        <v>836</v>
      </c>
      <c r="B7" s="60" t="s">
        <v>837</v>
      </c>
      <c r="C7" s="79">
        <v>5552.47</v>
      </c>
      <c r="D7" s="80"/>
      <c r="E7" s="79">
        <v>6932.58</v>
      </c>
      <c r="F7" s="80"/>
      <c r="G7" s="79">
        <v>7842.51</v>
      </c>
      <c r="H7" s="79"/>
      <c r="I7" s="79">
        <v>7000</v>
      </c>
      <c r="J7" s="79"/>
      <c r="K7" s="79">
        <v>7000</v>
      </c>
      <c r="L7" s="79"/>
      <c r="M7" s="79">
        <v>14753.11</v>
      </c>
      <c r="N7" s="79"/>
      <c r="O7" s="79">
        <v>0</v>
      </c>
      <c r="P7" s="79"/>
      <c r="Q7" s="79">
        <f>SUM(M7,O7)</f>
        <v>14753.11</v>
      </c>
      <c r="R7" s="79"/>
      <c r="S7" s="79">
        <v>7108</v>
      </c>
      <c r="T7" s="79"/>
      <c r="U7" s="79">
        <v>7108</v>
      </c>
      <c r="V7" s="79"/>
      <c r="W7" s="79">
        <v>7108</v>
      </c>
      <c r="X7" s="79"/>
      <c r="Y7" s="79">
        <f>SUM(W7,-I7)</f>
        <v>108</v>
      </c>
      <c r="Z7" s="62"/>
      <c r="AA7" s="63">
        <f>IF(W7=0,"N/A",PRODUCT(Y7,1/I7))</f>
        <v>1.542857142857143E-2</v>
      </c>
      <c r="AB7" s="62"/>
      <c r="AC7" s="79">
        <f>SUM(W7,-Q7)</f>
        <v>-7645.1100000000006</v>
      </c>
      <c r="AD7" s="62"/>
      <c r="AE7" s="63">
        <f>IF(W7=0,"N/A",PRODUCT(AC7,1/Q7))</f>
        <v>-0.51820328052864784</v>
      </c>
      <c r="AF7" s="57"/>
      <c r="AG7" s="57"/>
      <c r="AH7" s="57"/>
      <c r="AI7" s="57"/>
      <c r="AJ7" s="57"/>
    </row>
    <row r="8" spans="1:36" ht="12.75" customHeight="1" x14ac:dyDescent="0.2">
      <c r="A8" s="64" t="s">
        <v>1360</v>
      </c>
      <c r="C8" s="81">
        <f>SUM(C6:C7)</f>
        <v>843727.78</v>
      </c>
      <c r="E8" s="81">
        <f>SUM(E6:E7)</f>
        <v>828848.13</v>
      </c>
      <c r="G8" s="81">
        <f>SUM(G6:G7)</f>
        <v>1076578.75</v>
      </c>
      <c r="I8" s="81">
        <f>SUM(I6:I7)</f>
        <v>1704750</v>
      </c>
      <c r="K8" s="81">
        <f>SUM(K6:K7)</f>
        <v>1704750</v>
      </c>
      <c r="M8" s="81">
        <f>SUM(M6:M7)</f>
        <v>1721287.4300000002</v>
      </c>
      <c r="O8" s="81">
        <f>SUM(O6:O7)</f>
        <v>0</v>
      </c>
      <c r="Q8" s="81">
        <f>SUM(Q6:Q7)</f>
        <v>1721287.4300000002</v>
      </c>
      <c r="S8" s="81">
        <f>SUM(S6:S7)</f>
        <v>2330950</v>
      </c>
      <c r="U8" s="81">
        <f>SUM(U6:U7)</f>
        <v>2330950</v>
      </c>
      <c r="W8" s="81">
        <f>SUM(W6:W7)</f>
        <v>2330950</v>
      </c>
      <c r="Y8" s="81">
        <f>SUM(Y6:Y7)</f>
        <v>626200</v>
      </c>
      <c r="Z8" s="57"/>
      <c r="AA8" s="65">
        <f>IF(W8=0,"N/A",PRODUCT(Y8,1/I8))</f>
        <v>0.36732658747616953</v>
      </c>
      <c r="AB8" s="57"/>
      <c r="AC8" s="81">
        <f>SUM(AC6:AC7)</f>
        <v>609662.56999999995</v>
      </c>
      <c r="AD8" s="57"/>
      <c r="AE8" s="65">
        <f>IF(W8=0,"N/A",PRODUCT(AC8,1/Q8))</f>
        <v>0.35418986938166391</v>
      </c>
      <c r="AF8" s="57"/>
      <c r="AG8" s="57"/>
      <c r="AH8" s="57"/>
      <c r="AI8" s="57"/>
      <c r="AJ8" s="57"/>
    </row>
    <row r="9" spans="1:36" ht="12.75" customHeight="1" x14ac:dyDescent="0.2">
      <c r="Z9" s="57"/>
      <c r="AA9" s="58"/>
      <c r="AB9" s="57"/>
      <c r="AD9" s="57"/>
      <c r="AE9" s="58"/>
      <c r="AF9" s="57"/>
      <c r="AG9" s="57"/>
      <c r="AH9" s="57"/>
      <c r="AI9" s="57"/>
      <c r="AJ9" s="57"/>
    </row>
    <row r="10" spans="1:36" ht="12.75" customHeight="1" x14ac:dyDescent="0.2">
      <c r="A10" s="54" t="s">
        <v>1344</v>
      </c>
      <c r="Z10" s="57"/>
      <c r="AA10" s="58"/>
      <c r="AB10" s="57"/>
      <c r="AD10" s="57"/>
      <c r="AE10" s="58"/>
      <c r="AF10" s="57"/>
      <c r="AG10" s="57"/>
      <c r="AH10" s="57"/>
      <c r="AI10" s="57"/>
      <c r="AJ10" s="57"/>
    </row>
    <row r="11" spans="1:36" ht="12.75" customHeight="1" x14ac:dyDescent="0.2">
      <c r="A11" s="59" t="s">
        <v>839</v>
      </c>
      <c r="B11" s="60" t="s">
        <v>613</v>
      </c>
      <c r="C11" s="79">
        <v>2782.54</v>
      </c>
      <c r="D11" s="80"/>
      <c r="E11" s="79">
        <v>177.21</v>
      </c>
      <c r="F11" s="80"/>
      <c r="G11" s="79">
        <v>1607.79</v>
      </c>
      <c r="H11" s="79"/>
      <c r="I11" s="79">
        <v>500</v>
      </c>
      <c r="J11" s="79"/>
      <c r="K11" s="79">
        <v>500</v>
      </c>
      <c r="L11" s="79"/>
      <c r="M11" s="79">
        <v>34737.85</v>
      </c>
      <c r="N11" s="79"/>
      <c r="O11" s="79">
        <f>PRODUCT(M11,0/12)</f>
        <v>0</v>
      </c>
      <c r="P11" s="79"/>
      <c r="Q11" s="79">
        <f>SUM(M11,O11)</f>
        <v>34737.85</v>
      </c>
      <c r="R11" s="79"/>
      <c r="S11" s="79">
        <v>15500</v>
      </c>
      <c r="T11" s="79"/>
      <c r="U11" s="79">
        <v>15500</v>
      </c>
      <c r="V11" s="79"/>
      <c r="W11" s="79">
        <v>15500</v>
      </c>
      <c r="X11" s="79"/>
      <c r="Y11" s="79">
        <f>SUM(W11,-I11)</f>
        <v>15000</v>
      </c>
      <c r="Z11" s="62"/>
      <c r="AA11" s="63">
        <f>IF(W11=0,"N/A",PRODUCT(Y11,1/I11))</f>
        <v>30</v>
      </c>
      <c r="AB11" s="62"/>
      <c r="AC11" s="79">
        <f>SUM(W11,-Q11)</f>
        <v>-19237.849999999999</v>
      </c>
      <c r="AD11" s="62"/>
      <c r="AE11" s="63">
        <f>IF(W11=0,"N/A",PRODUCT(AC11,1/Q11))</f>
        <v>-0.55380082532453789</v>
      </c>
      <c r="AF11" s="57"/>
      <c r="AG11" s="57"/>
      <c r="AH11" s="57"/>
      <c r="AI11" s="57"/>
      <c r="AJ11" s="57"/>
    </row>
    <row r="12" spans="1:36" ht="12.75" customHeight="1" x14ac:dyDescent="0.2">
      <c r="A12" s="64" t="s">
        <v>1345</v>
      </c>
      <c r="C12" s="81">
        <f>SUM(C11:C11)</f>
        <v>2782.54</v>
      </c>
      <c r="E12" s="81">
        <f>SUM(E11:E11)</f>
        <v>177.21</v>
      </c>
      <c r="G12" s="81">
        <f>SUM(G11:G11)</f>
        <v>1607.79</v>
      </c>
      <c r="I12" s="81">
        <f>SUM(I11:I11)</f>
        <v>500</v>
      </c>
      <c r="K12" s="81">
        <f>SUM(K11:K11)</f>
        <v>500</v>
      </c>
      <c r="M12" s="81">
        <f>SUM(M11:M11)</f>
        <v>34737.85</v>
      </c>
      <c r="O12" s="81">
        <f>SUM(O11:O11)</f>
        <v>0</v>
      </c>
      <c r="Q12" s="81">
        <f>SUM(Q11:Q11)</f>
        <v>34737.85</v>
      </c>
      <c r="S12" s="81">
        <f>SUM(S11:S11)</f>
        <v>15500</v>
      </c>
      <c r="U12" s="81">
        <f>SUM(U11:U11)</f>
        <v>15500</v>
      </c>
      <c r="W12" s="81">
        <f>SUM(W11:W11)</f>
        <v>15500</v>
      </c>
      <c r="Y12" s="81">
        <f>SUM(Y11:Y11)</f>
        <v>15000</v>
      </c>
      <c r="Z12" s="57"/>
      <c r="AA12" s="65">
        <f>IF(W12=0,"N/A",PRODUCT(Y12,1/I12))</f>
        <v>30</v>
      </c>
      <c r="AB12" s="57"/>
      <c r="AC12" s="81">
        <f>SUM(AC11:AC11)</f>
        <v>-19237.849999999999</v>
      </c>
      <c r="AD12" s="57"/>
      <c r="AE12" s="65">
        <f>IF(W12=0,"N/A",PRODUCT(AC12,1/Q12))</f>
        <v>-0.55380082532453789</v>
      </c>
      <c r="AF12" s="57"/>
      <c r="AG12" s="57"/>
      <c r="AH12" s="57"/>
      <c r="AI12" s="57"/>
      <c r="AJ12" s="57"/>
    </row>
    <row r="13" spans="1:36" ht="12.75" customHeight="1" x14ac:dyDescent="0.2">
      <c r="Z13" s="57"/>
      <c r="AA13" s="58"/>
      <c r="AB13" s="57"/>
      <c r="AD13" s="57"/>
      <c r="AE13" s="58"/>
      <c r="AF13" s="57"/>
      <c r="AG13" s="57"/>
      <c r="AH13" s="57"/>
      <c r="AI13" s="57"/>
      <c r="AJ13" s="57"/>
    </row>
    <row r="14" spans="1:36" ht="12.75" customHeight="1" x14ac:dyDescent="0.2">
      <c r="A14" s="54" t="s">
        <v>1361</v>
      </c>
      <c r="Z14" s="57"/>
      <c r="AA14" s="58"/>
      <c r="AB14" s="57"/>
      <c r="AD14" s="57"/>
      <c r="AE14" s="58"/>
      <c r="AF14" s="57"/>
      <c r="AG14" s="57"/>
      <c r="AH14" s="57"/>
      <c r="AI14" s="57"/>
      <c r="AJ14" s="57"/>
    </row>
    <row r="15" spans="1:36" ht="12.75" customHeight="1" x14ac:dyDescent="0.2">
      <c r="A15" s="55" t="s">
        <v>840</v>
      </c>
      <c r="B15" s="56" t="s">
        <v>597</v>
      </c>
      <c r="C15" s="77">
        <v>3240000</v>
      </c>
      <c r="E15" s="77">
        <v>0</v>
      </c>
      <c r="G15" s="77">
        <v>0</v>
      </c>
      <c r="I15" s="77">
        <v>0</v>
      </c>
      <c r="K15" s="77">
        <v>0</v>
      </c>
      <c r="M15" s="77">
        <v>0</v>
      </c>
      <c r="O15" s="77">
        <v>0</v>
      </c>
      <c r="Q15" s="77">
        <f>SUM(M15,O15)</f>
        <v>0</v>
      </c>
      <c r="S15" s="77">
        <v>0</v>
      </c>
      <c r="U15" s="77">
        <v>0</v>
      </c>
      <c r="W15" s="77">
        <v>0</v>
      </c>
      <c r="Y15" s="77">
        <f>SUM(W15,-I15)</f>
        <v>0</v>
      </c>
      <c r="Z15" s="57"/>
      <c r="AA15" s="58" t="str">
        <f>IF(W15=0,"N/A",PRODUCT(Y15,1/I15))</f>
        <v>N/A</v>
      </c>
      <c r="AB15" s="57"/>
      <c r="AC15" s="77">
        <f>SUM(W15,-Q15)</f>
        <v>0</v>
      </c>
      <c r="AD15" s="57"/>
      <c r="AE15" s="58" t="str">
        <f>IF(W15=0,"N/A",PRODUCT(AC15,1/Q15))</f>
        <v>N/A</v>
      </c>
      <c r="AF15" s="57"/>
      <c r="AG15" s="57"/>
      <c r="AH15" s="57"/>
      <c r="AI15" s="57"/>
      <c r="AJ15" s="57"/>
    </row>
    <row r="16" spans="1:36" ht="12.75" customHeight="1" x14ac:dyDescent="0.2">
      <c r="A16" s="59" t="s">
        <v>841</v>
      </c>
      <c r="B16" s="60" t="s">
        <v>779</v>
      </c>
      <c r="C16" s="79">
        <v>424551.55</v>
      </c>
      <c r="D16" s="80"/>
      <c r="E16" s="79">
        <v>0</v>
      </c>
      <c r="F16" s="80"/>
      <c r="G16" s="79">
        <v>0</v>
      </c>
      <c r="H16" s="79"/>
      <c r="I16" s="79">
        <v>0</v>
      </c>
      <c r="J16" s="79"/>
      <c r="K16" s="79">
        <v>0</v>
      </c>
      <c r="L16" s="79"/>
      <c r="M16" s="79">
        <v>0</v>
      </c>
      <c r="N16" s="79"/>
      <c r="O16" s="79">
        <v>0</v>
      </c>
      <c r="P16" s="79"/>
      <c r="Q16" s="79">
        <f>SUM(M16,O16)</f>
        <v>0</v>
      </c>
      <c r="R16" s="79"/>
      <c r="S16" s="79">
        <v>0</v>
      </c>
      <c r="T16" s="79"/>
      <c r="U16" s="79">
        <v>0</v>
      </c>
      <c r="V16" s="79"/>
      <c r="W16" s="79">
        <v>0</v>
      </c>
      <c r="X16" s="79"/>
      <c r="Y16" s="79">
        <f>SUM(W16,-I16)</f>
        <v>0</v>
      </c>
      <c r="Z16" s="62"/>
      <c r="AA16" s="63" t="str">
        <f>IF(W16=0,"N/A",PRODUCT(Y16,1/I16))</f>
        <v>N/A</v>
      </c>
      <c r="AB16" s="62"/>
      <c r="AC16" s="79">
        <f>SUM(W16,-Q16)</f>
        <v>0</v>
      </c>
      <c r="AD16" s="62"/>
      <c r="AE16" s="63" t="str">
        <f>IF(W16=0,"N/A",PRODUCT(AC16,1/Q16))</f>
        <v>N/A</v>
      </c>
      <c r="AF16" s="57"/>
      <c r="AG16" s="57"/>
      <c r="AH16" s="57"/>
      <c r="AI16" s="57"/>
      <c r="AJ16" s="57"/>
    </row>
    <row r="17" spans="1:36" ht="12.75" customHeight="1" x14ac:dyDescent="0.2">
      <c r="A17" s="64" t="s">
        <v>1362</v>
      </c>
      <c r="C17" s="81">
        <f>SUM(C15:C16)</f>
        <v>3664551.55</v>
      </c>
      <c r="E17" s="81">
        <f>SUM(E15:E16)</f>
        <v>0</v>
      </c>
      <c r="G17" s="81">
        <f>SUM(G15:G16)</f>
        <v>0</v>
      </c>
      <c r="I17" s="81">
        <f>SUM(I15:I16)</f>
        <v>0</v>
      </c>
      <c r="K17" s="81">
        <f>SUM(K15:K16)</f>
        <v>0</v>
      </c>
      <c r="M17" s="81">
        <f>SUM(M15:M16)</f>
        <v>0</v>
      </c>
      <c r="O17" s="81">
        <f>SUM(O15:O16)</f>
        <v>0</v>
      </c>
      <c r="Q17" s="81">
        <f>SUM(Q15:Q16)</f>
        <v>0</v>
      </c>
      <c r="S17" s="81">
        <f>SUM(S15:S16)</f>
        <v>0</v>
      </c>
      <c r="U17" s="81">
        <f>SUM(U15:U16)</f>
        <v>0</v>
      </c>
      <c r="W17" s="81">
        <f>SUM(W15:W16)</f>
        <v>0</v>
      </c>
      <c r="Y17" s="81">
        <f>SUM(Y15:Y16)</f>
        <v>0</v>
      </c>
      <c r="Z17" s="57"/>
      <c r="AA17" s="65" t="str">
        <f>IF(W17=0,"N/A",PRODUCT(Y17,1/I17))</f>
        <v>N/A</v>
      </c>
      <c r="AB17" s="57"/>
      <c r="AC17" s="81">
        <f>SUM(AC15:AC16)</f>
        <v>0</v>
      </c>
      <c r="AD17" s="57"/>
      <c r="AE17" s="65" t="str">
        <f>IF(W17=0,"N/A",PRODUCT(AC17,1/Q17))</f>
        <v>N/A</v>
      </c>
      <c r="AF17" s="57"/>
      <c r="AG17" s="57"/>
      <c r="AH17" s="57"/>
      <c r="AI17" s="57"/>
      <c r="AJ17" s="57"/>
    </row>
    <row r="18" spans="1:36" ht="12.75" customHeight="1" x14ac:dyDescent="0.2">
      <c r="Z18" s="57"/>
      <c r="AA18" s="58"/>
      <c r="AB18" s="57"/>
      <c r="AD18" s="57"/>
      <c r="AE18" s="58"/>
      <c r="AF18" s="57"/>
      <c r="AG18" s="57"/>
      <c r="AH18" s="57"/>
      <c r="AI18" s="57"/>
      <c r="AJ18" s="57"/>
    </row>
    <row r="19" spans="1:36" ht="12.75" customHeight="1" x14ac:dyDescent="0.2">
      <c r="A19" s="54" t="s">
        <v>1363</v>
      </c>
      <c r="Z19" s="57"/>
      <c r="AA19" s="58"/>
      <c r="AB19" s="57"/>
      <c r="AD19" s="57"/>
      <c r="AE19" s="58"/>
      <c r="AF19" s="57"/>
      <c r="AG19" s="57"/>
      <c r="AH19" s="57"/>
      <c r="AI19" s="57"/>
      <c r="AJ19" s="57"/>
    </row>
    <row r="20" spans="1:36" ht="12.75" customHeight="1" x14ac:dyDescent="0.2">
      <c r="A20" s="59" t="s">
        <v>838</v>
      </c>
      <c r="B20" s="60" t="s">
        <v>256</v>
      </c>
      <c r="C20" s="79">
        <v>2590.48</v>
      </c>
      <c r="D20" s="80"/>
      <c r="E20" s="79">
        <v>0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v>0</v>
      </c>
      <c r="P20" s="79"/>
      <c r="Q20" s="79">
        <f>SUM(M20,O20)</f>
        <v>0</v>
      </c>
      <c r="R20" s="79"/>
      <c r="S20" s="79">
        <v>0</v>
      </c>
      <c r="T20" s="79"/>
      <c r="U20" s="79">
        <v>0</v>
      </c>
      <c r="V20" s="79"/>
      <c r="W20" s="79">
        <v>0</v>
      </c>
      <c r="X20" s="79"/>
      <c r="Y20" s="79">
        <f>SUM(W20,-I20)</f>
        <v>0</v>
      </c>
      <c r="Z20" s="62"/>
      <c r="AA20" s="63" t="str">
        <f>IF(W20=0,"N/A",PRODUCT(Y20,1/I20))</f>
        <v>N/A</v>
      </c>
      <c r="AB20" s="62"/>
      <c r="AC20" s="79">
        <f>SUM(W20,-Q20)</f>
        <v>0</v>
      </c>
      <c r="AD20" s="62"/>
      <c r="AE20" s="63" t="str">
        <f>IF(W20=0,"N/A",PRODUCT(AC20,1/Q20))</f>
        <v>N/A</v>
      </c>
      <c r="AF20" s="57"/>
      <c r="AG20" s="57"/>
      <c r="AH20" s="57"/>
      <c r="AI20" s="57"/>
      <c r="AJ20" s="57"/>
    </row>
    <row r="21" spans="1:36" ht="12.75" customHeight="1" x14ac:dyDescent="0.2">
      <c r="A21" s="64" t="s">
        <v>1364</v>
      </c>
      <c r="C21" s="81">
        <f>SUM(C20:C20)</f>
        <v>2590.48</v>
      </c>
      <c r="E21" s="81">
        <f>SUM(E20:E20)</f>
        <v>0</v>
      </c>
      <c r="G21" s="81">
        <f>SUM(G20:G20)</f>
        <v>0</v>
      </c>
      <c r="I21" s="81">
        <f>SUM(I20:I20)</f>
        <v>0</v>
      </c>
      <c r="K21" s="81">
        <f>SUM(K20:K20)</f>
        <v>0</v>
      </c>
      <c r="M21" s="81">
        <f>SUM(M20:M20)</f>
        <v>0</v>
      </c>
      <c r="O21" s="81">
        <f>SUM(O20:O20)</f>
        <v>0</v>
      </c>
      <c r="Q21" s="81">
        <f>SUM(Q20:Q20)</f>
        <v>0</v>
      </c>
      <c r="S21" s="81">
        <f>SUM(S20:S20)</f>
        <v>0</v>
      </c>
      <c r="U21" s="81">
        <f>SUM(U20:U20)</f>
        <v>0</v>
      </c>
      <c r="W21" s="81">
        <f>SUM(W20:W20)</f>
        <v>0</v>
      </c>
      <c r="Y21" s="81">
        <f>SUM(Y20:Y20)</f>
        <v>0</v>
      </c>
      <c r="Z21" s="57"/>
      <c r="AA21" s="65" t="str">
        <f>IF(W21=0,"N/A",PRODUCT(Y21,1/I21))</f>
        <v>N/A</v>
      </c>
      <c r="AB21" s="57"/>
      <c r="AC21" s="81">
        <f>SUM(AC20:AC20)</f>
        <v>0</v>
      </c>
      <c r="AD21" s="57"/>
      <c r="AE21" s="65" t="str">
        <f>IF(W21=0,"N/A",PRODUCT(AC21,1/Q21))</f>
        <v>N/A</v>
      </c>
      <c r="AF21" s="57"/>
      <c r="AG21" s="57"/>
      <c r="AH21" s="57"/>
      <c r="AI21" s="57"/>
      <c r="AJ21" s="57"/>
    </row>
    <row r="22" spans="1:36" ht="12.75" customHeight="1" x14ac:dyDescent="0.2">
      <c r="Z22" s="57"/>
      <c r="AA22" s="58"/>
      <c r="AB22" s="57"/>
      <c r="AD22" s="57"/>
      <c r="AE22" s="58"/>
      <c r="AF22" s="57"/>
      <c r="AG22" s="57"/>
      <c r="AH22" s="57"/>
      <c r="AI22" s="57"/>
      <c r="AJ22" s="57"/>
    </row>
    <row r="23" spans="1:36" ht="12.75" customHeight="1" thickBot="1" x14ac:dyDescent="0.25">
      <c r="A23" s="67" t="s">
        <v>865</v>
      </c>
      <c r="C23" s="83">
        <f>SUM(C8,C12,C17,C21)</f>
        <v>4513652.3500000006</v>
      </c>
      <c r="E23" s="83">
        <f>SUM(E8,E12,E17,E21)</f>
        <v>829025.34</v>
      </c>
      <c r="G23" s="83">
        <f>SUM(G8,G12,G17,G21)</f>
        <v>1078186.54</v>
      </c>
      <c r="I23" s="83">
        <f>SUM(I8,I12,I17,I21)</f>
        <v>1705250</v>
      </c>
      <c r="K23" s="83">
        <f>SUM(K8,K12,K17,K21)</f>
        <v>1705250</v>
      </c>
      <c r="M23" s="82">
        <f>SUM(M8,M12,M17,M21)</f>
        <v>1756025.2800000003</v>
      </c>
      <c r="O23" s="82">
        <f>SUM(O8,O12,O17,O21)</f>
        <v>0</v>
      </c>
      <c r="Q23" s="83">
        <f>SUM(Q8,Q12,Q17,Q21)</f>
        <v>1756025.2800000003</v>
      </c>
      <c r="S23" s="82">
        <f>SUM(S8,S12,S17,S21)</f>
        <v>2346450</v>
      </c>
      <c r="U23" s="82">
        <f>SUM(U8,U12,U17,U21)</f>
        <v>2346450</v>
      </c>
      <c r="W23" s="83">
        <f>SUM(W8,W12,W17,W21)</f>
        <v>2346450</v>
      </c>
      <c r="Y23" s="82">
        <f>SUM(Y8,Y12,Y17,Y21)</f>
        <v>641200</v>
      </c>
      <c r="Z23" s="57"/>
      <c r="AA23" s="125">
        <f>IF(W23=0,"N/A",PRODUCT(Y23,1/I23))</f>
        <v>0.37601524703122707</v>
      </c>
      <c r="AB23" s="57"/>
      <c r="AC23" s="82">
        <f>SUM(AC8,AC12,AC17,AC21)</f>
        <v>590424.72</v>
      </c>
      <c r="AD23" s="57"/>
      <c r="AE23" s="125">
        <f>IF(W23=0,"N/A",PRODUCT(AC23,1/Q23))</f>
        <v>0.33622791580768124</v>
      </c>
      <c r="AF23" s="57"/>
      <c r="AG23" s="57"/>
      <c r="AH23" s="57"/>
      <c r="AI23" s="57"/>
      <c r="AJ23" s="57"/>
    </row>
    <row r="24" spans="1:36" ht="12.75" customHeight="1" thickTop="1" x14ac:dyDescent="0.2">
      <c r="Z24" s="57"/>
      <c r="AA24" s="58"/>
      <c r="AB24" s="57"/>
      <c r="AD24" s="57"/>
      <c r="AE24" s="58"/>
      <c r="AF24" s="57"/>
      <c r="AG24" s="57"/>
      <c r="AH24" s="57"/>
      <c r="AI24" s="57"/>
      <c r="AJ24" s="57"/>
    </row>
    <row r="25" spans="1:36" ht="12.75" customHeight="1" x14ac:dyDescent="0.2">
      <c r="Z25" s="57"/>
      <c r="AA25" s="58"/>
      <c r="AB25" s="57"/>
      <c r="AD25" s="57"/>
      <c r="AE25" s="58"/>
      <c r="AF25" s="57"/>
      <c r="AG25" s="57"/>
      <c r="AH25" s="57"/>
      <c r="AI25" s="57"/>
      <c r="AJ25" s="57"/>
    </row>
    <row r="26" spans="1:36" ht="12.75" customHeight="1" x14ac:dyDescent="0.2">
      <c r="Z26" s="57"/>
      <c r="AA26" s="58"/>
      <c r="AB26" s="57"/>
      <c r="AD26" s="57"/>
      <c r="AE26" s="58"/>
      <c r="AF26" s="57"/>
      <c r="AG26" s="57"/>
      <c r="AH26" s="57"/>
      <c r="AI26" s="57"/>
      <c r="AJ26" s="57"/>
    </row>
    <row r="27" spans="1:36" ht="12.75" customHeight="1" x14ac:dyDescent="0.2">
      <c r="A27" s="67" t="s">
        <v>843</v>
      </c>
      <c r="Z27" s="57"/>
      <c r="AA27" s="58"/>
      <c r="AB27" s="57"/>
      <c r="AD27" s="57"/>
      <c r="AE27" s="58"/>
      <c r="AF27" s="57"/>
      <c r="AG27" s="57"/>
      <c r="AH27" s="57"/>
      <c r="AI27" s="57"/>
      <c r="AJ27" s="57"/>
    </row>
    <row r="28" spans="1:36" ht="12.75" customHeight="1" x14ac:dyDescent="0.2">
      <c r="A28" s="54" t="s">
        <v>842</v>
      </c>
      <c r="Z28" s="57"/>
      <c r="AA28" s="58"/>
      <c r="AB28" s="57"/>
      <c r="AD28" s="57"/>
      <c r="AE28" s="58"/>
      <c r="AF28" s="57"/>
      <c r="AG28" s="57"/>
      <c r="AH28" s="57"/>
      <c r="AI28" s="57"/>
      <c r="AJ28" s="57"/>
    </row>
    <row r="29" spans="1:36" ht="12.75" customHeight="1" x14ac:dyDescent="0.2">
      <c r="A29" s="59" t="s">
        <v>844</v>
      </c>
      <c r="B29" s="60" t="s">
        <v>616</v>
      </c>
      <c r="C29" s="79">
        <v>65363.75</v>
      </c>
      <c r="D29" s="80"/>
      <c r="E29" s="79">
        <v>0</v>
      </c>
      <c r="F29" s="80"/>
      <c r="G29" s="79">
        <v>0</v>
      </c>
      <c r="H29" s="79"/>
      <c r="I29" s="79">
        <v>0</v>
      </c>
      <c r="J29" s="79"/>
      <c r="K29" s="79">
        <v>0</v>
      </c>
      <c r="L29" s="79"/>
      <c r="M29" s="79">
        <v>0</v>
      </c>
      <c r="N29" s="79"/>
      <c r="O29" s="79">
        <v>0</v>
      </c>
      <c r="P29" s="79"/>
      <c r="Q29" s="79">
        <f t="shared" ref="Q29:Q45" si="0">SUM(M29,O29)</f>
        <v>0</v>
      </c>
      <c r="R29" s="79"/>
      <c r="S29" s="79">
        <v>0</v>
      </c>
      <c r="T29" s="79"/>
      <c r="U29" s="79">
        <v>0</v>
      </c>
      <c r="V29" s="79"/>
      <c r="W29" s="79">
        <v>0</v>
      </c>
      <c r="X29" s="79"/>
      <c r="Y29" s="79">
        <f t="shared" ref="Y29:Y45" si="1">SUM(W29,-I29)</f>
        <v>0</v>
      </c>
      <c r="Z29" s="62"/>
      <c r="AA29" s="63" t="str">
        <f t="shared" ref="AA29:AA46" si="2">IF(W29=0,"N/A",PRODUCT(Y29,1/I29))</f>
        <v>N/A</v>
      </c>
      <c r="AB29" s="62"/>
      <c r="AC29" s="79">
        <f t="shared" ref="AC29:AC45" si="3">SUM(W29,-Q29)</f>
        <v>0</v>
      </c>
      <c r="AD29" s="62"/>
      <c r="AE29" s="63" t="str">
        <f t="shared" ref="AE29:AE46" si="4">IF(W29=0,"N/A",PRODUCT(AC29,1/Q29))</f>
        <v>N/A</v>
      </c>
      <c r="AF29" s="57"/>
      <c r="AG29" s="57"/>
      <c r="AH29" s="57"/>
      <c r="AI29" s="57"/>
      <c r="AJ29" s="57"/>
    </row>
    <row r="30" spans="1:36" ht="12.75" customHeight="1" x14ac:dyDescent="0.2">
      <c r="A30" s="55" t="s">
        <v>845</v>
      </c>
      <c r="B30" s="56" t="s">
        <v>617</v>
      </c>
      <c r="C30" s="77">
        <v>295000</v>
      </c>
      <c r="E30" s="77">
        <v>0</v>
      </c>
      <c r="G30" s="77">
        <v>0</v>
      </c>
      <c r="I30" s="77">
        <v>0</v>
      </c>
      <c r="K30" s="77">
        <v>0</v>
      </c>
      <c r="M30" s="77">
        <v>0</v>
      </c>
      <c r="O30" s="77">
        <v>0</v>
      </c>
      <c r="Q30" s="77">
        <f t="shared" si="0"/>
        <v>0</v>
      </c>
      <c r="S30" s="77">
        <v>0</v>
      </c>
      <c r="U30" s="77">
        <v>0</v>
      </c>
      <c r="W30" s="77">
        <v>0</v>
      </c>
      <c r="Y30" s="77">
        <f t="shared" si="1"/>
        <v>0</v>
      </c>
      <c r="Z30" s="57"/>
      <c r="AA30" s="58" t="str">
        <f t="shared" si="2"/>
        <v>N/A</v>
      </c>
      <c r="AB30" s="57"/>
      <c r="AC30" s="77">
        <f t="shared" si="3"/>
        <v>0</v>
      </c>
      <c r="AD30" s="57"/>
      <c r="AE30" s="58" t="str">
        <f t="shared" si="4"/>
        <v>N/A</v>
      </c>
      <c r="AF30" s="57"/>
      <c r="AG30" s="57"/>
      <c r="AH30" s="57"/>
      <c r="AI30" s="57"/>
      <c r="AJ30" s="57"/>
    </row>
    <row r="31" spans="1:36" ht="12.75" customHeight="1" x14ac:dyDescent="0.2">
      <c r="A31" s="59" t="s">
        <v>846</v>
      </c>
      <c r="B31" s="60" t="s">
        <v>618</v>
      </c>
      <c r="C31" s="79">
        <v>142896.26</v>
      </c>
      <c r="D31" s="80"/>
      <c r="E31" s="79">
        <v>139696.26</v>
      </c>
      <c r="F31" s="80"/>
      <c r="G31" s="79">
        <v>136346.26</v>
      </c>
      <c r="H31" s="79"/>
      <c r="I31" s="79">
        <v>132700</v>
      </c>
      <c r="J31" s="79"/>
      <c r="K31" s="79">
        <v>132700</v>
      </c>
      <c r="L31" s="79"/>
      <c r="M31" s="79">
        <v>132896.26</v>
      </c>
      <c r="N31" s="79"/>
      <c r="O31" s="79">
        <v>0</v>
      </c>
      <c r="P31" s="79"/>
      <c r="Q31" s="79">
        <f t="shared" si="0"/>
        <v>132896.26</v>
      </c>
      <c r="R31" s="79"/>
      <c r="S31" s="79">
        <v>129000</v>
      </c>
      <c r="T31" s="79"/>
      <c r="U31" s="79">
        <v>129000</v>
      </c>
      <c r="V31" s="79"/>
      <c r="W31" s="79">
        <v>129000</v>
      </c>
      <c r="X31" s="79"/>
      <c r="Y31" s="79">
        <f t="shared" si="1"/>
        <v>-3700</v>
      </c>
      <c r="Z31" s="62"/>
      <c r="AA31" s="63">
        <f t="shared" si="2"/>
        <v>-2.7882441597588545E-2</v>
      </c>
      <c r="AB31" s="62"/>
      <c r="AC31" s="79">
        <f t="shared" si="3"/>
        <v>-3896.2600000000093</v>
      </c>
      <c r="AD31" s="62"/>
      <c r="AE31" s="63">
        <f t="shared" si="4"/>
        <v>-2.9318056053646725E-2</v>
      </c>
      <c r="AF31" s="57"/>
      <c r="AG31" s="57"/>
      <c r="AH31" s="57"/>
      <c r="AI31" s="57"/>
      <c r="AJ31" s="57"/>
    </row>
    <row r="32" spans="1:36" ht="12.75" customHeight="1" x14ac:dyDescent="0.2">
      <c r="A32" s="55" t="s">
        <v>847</v>
      </c>
      <c r="B32" s="56" t="s">
        <v>619</v>
      </c>
      <c r="C32" s="77">
        <v>155000</v>
      </c>
      <c r="E32" s="77">
        <v>165000</v>
      </c>
      <c r="G32" s="77">
        <v>170000</v>
      </c>
      <c r="I32" s="77">
        <v>515000</v>
      </c>
      <c r="K32" s="77">
        <v>515000</v>
      </c>
      <c r="M32" s="77">
        <v>175000</v>
      </c>
      <c r="O32" s="77">
        <v>0</v>
      </c>
      <c r="Q32" s="77">
        <f t="shared" si="0"/>
        <v>175000</v>
      </c>
      <c r="S32" s="77">
        <v>430000</v>
      </c>
      <c r="U32" s="77">
        <v>430000</v>
      </c>
      <c r="W32" s="77">
        <v>430000</v>
      </c>
      <c r="Y32" s="77">
        <f t="shared" si="1"/>
        <v>-85000</v>
      </c>
      <c r="Z32" s="57"/>
      <c r="AA32" s="58">
        <f t="shared" si="2"/>
        <v>-0.1650485436893204</v>
      </c>
      <c r="AB32" s="57"/>
      <c r="AC32" s="77">
        <f t="shared" si="3"/>
        <v>255000</v>
      </c>
      <c r="AD32" s="57"/>
      <c r="AE32" s="58">
        <f t="shared" si="4"/>
        <v>1.4571428571428573</v>
      </c>
      <c r="AF32" s="57"/>
      <c r="AG32" s="57"/>
      <c r="AH32" s="57"/>
      <c r="AI32" s="57"/>
      <c r="AJ32" s="57"/>
    </row>
    <row r="33" spans="1:36" ht="12.75" customHeight="1" x14ac:dyDescent="0.2">
      <c r="A33" s="59" t="s">
        <v>848</v>
      </c>
      <c r="B33" s="60" t="s">
        <v>620</v>
      </c>
      <c r="C33" s="79">
        <v>24250</v>
      </c>
      <c r="D33" s="80"/>
      <c r="E33" s="79">
        <v>22350</v>
      </c>
      <c r="F33" s="80"/>
      <c r="G33" s="79">
        <v>19350</v>
      </c>
      <c r="H33" s="79"/>
      <c r="I33" s="79">
        <v>16350</v>
      </c>
      <c r="J33" s="79"/>
      <c r="K33" s="79">
        <v>16350</v>
      </c>
      <c r="L33" s="79"/>
      <c r="M33" s="79">
        <v>16350</v>
      </c>
      <c r="N33" s="79"/>
      <c r="O33" s="79">
        <v>0</v>
      </c>
      <c r="P33" s="79"/>
      <c r="Q33" s="79">
        <f t="shared" si="0"/>
        <v>16350</v>
      </c>
      <c r="R33" s="79"/>
      <c r="S33" s="79">
        <v>13200</v>
      </c>
      <c r="T33" s="79"/>
      <c r="U33" s="79">
        <v>13200</v>
      </c>
      <c r="V33" s="79"/>
      <c r="W33" s="79">
        <v>13200</v>
      </c>
      <c r="X33" s="79"/>
      <c r="Y33" s="79">
        <f t="shared" si="1"/>
        <v>-3150</v>
      </c>
      <c r="Z33" s="62"/>
      <c r="AA33" s="63">
        <f t="shared" si="2"/>
        <v>-0.19266055045871561</v>
      </c>
      <c r="AB33" s="62"/>
      <c r="AC33" s="79">
        <f t="shared" si="3"/>
        <v>-3150</v>
      </c>
      <c r="AD33" s="62"/>
      <c r="AE33" s="63">
        <f t="shared" si="4"/>
        <v>-0.19266055045871561</v>
      </c>
      <c r="AF33" s="57"/>
      <c r="AG33" s="57"/>
      <c r="AH33" s="57"/>
      <c r="AI33" s="57"/>
      <c r="AJ33" s="57"/>
    </row>
    <row r="34" spans="1:36" ht="12.75" customHeight="1" x14ac:dyDescent="0.2">
      <c r="A34" s="55" t="s">
        <v>849</v>
      </c>
      <c r="B34" s="56" t="s">
        <v>621</v>
      </c>
      <c r="C34" s="77">
        <v>95000</v>
      </c>
      <c r="E34" s="77">
        <v>100000</v>
      </c>
      <c r="G34" s="77">
        <v>100000</v>
      </c>
      <c r="I34" s="77">
        <v>105000</v>
      </c>
      <c r="K34" s="77">
        <v>105000</v>
      </c>
      <c r="M34" s="77">
        <v>105000</v>
      </c>
      <c r="O34" s="77">
        <v>0</v>
      </c>
      <c r="Q34" s="77">
        <f t="shared" si="0"/>
        <v>105000</v>
      </c>
      <c r="S34" s="77">
        <v>105000</v>
      </c>
      <c r="U34" s="77">
        <v>105000</v>
      </c>
      <c r="W34" s="77">
        <v>105000</v>
      </c>
      <c r="Y34" s="77">
        <f t="shared" si="1"/>
        <v>0</v>
      </c>
      <c r="Z34" s="57"/>
      <c r="AA34" s="58">
        <f t="shared" si="2"/>
        <v>0</v>
      </c>
      <c r="AB34" s="57"/>
      <c r="AC34" s="77">
        <f t="shared" si="3"/>
        <v>0</v>
      </c>
      <c r="AD34" s="57"/>
      <c r="AE34" s="58">
        <f t="shared" si="4"/>
        <v>0</v>
      </c>
      <c r="AF34" s="57"/>
      <c r="AG34" s="57"/>
      <c r="AH34" s="57"/>
      <c r="AI34" s="57"/>
      <c r="AJ34" s="57"/>
    </row>
    <row r="35" spans="1:36" ht="12.75" customHeight="1" x14ac:dyDescent="0.2">
      <c r="A35" s="59" t="s">
        <v>850</v>
      </c>
      <c r="B35" s="60" t="s">
        <v>624</v>
      </c>
      <c r="C35" s="79">
        <v>0</v>
      </c>
      <c r="D35" s="80"/>
      <c r="E35" s="79">
        <v>275000</v>
      </c>
      <c r="F35" s="80"/>
      <c r="G35" s="79">
        <v>290000</v>
      </c>
      <c r="H35" s="79"/>
      <c r="I35" s="79">
        <v>300000</v>
      </c>
      <c r="J35" s="79"/>
      <c r="K35" s="79">
        <v>300000</v>
      </c>
      <c r="L35" s="79"/>
      <c r="M35" s="79">
        <v>300000</v>
      </c>
      <c r="N35" s="79"/>
      <c r="O35" s="79">
        <v>0</v>
      </c>
      <c r="P35" s="79"/>
      <c r="Q35" s="79">
        <f t="shared" si="0"/>
        <v>300000</v>
      </c>
      <c r="R35" s="79"/>
      <c r="S35" s="79">
        <v>310000</v>
      </c>
      <c r="T35" s="79"/>
      <c r="U35" s="79">
        <v>310000</v>
      </c>
      <c r="V35" s="79"/>
      <c r="W35" s="79">
        <v>310000</v>
      </c>
      <c r="X35" s="79"/>
      <c r="Y35" s="79">
        <f t="shared" si="1"/>
        <v>10000</v>
      </c>
      <c r="Z35" s="62"/>
      <c r="AA35" s="63">
        <f t="shared" si="2"/>
        <v>3.3333333333333333E-2</v>
      </c>
      <c r="AB35" s="62"/>
      <c r="AC35" s="79">
        <f t="shared" si="3"/>
        <v>10000</v>
      </c>
      <c r="AD35" s="62"/>
      <c r="AE35" s="63">
        <f t="shared" si="4"/>
        <v>3.3333333333333333E-2</v>
      </c>
      <c r="AF35" s="57"/>
      <c r="AG35" s="57"/>
      <c r="AH35" s="57"/>
      <c r="AI35" s="57"/>
      <c r="AJ35" s="57"/>
    </row>
    <row r="36" spans="1:36" ht="12.75" customHeight="1" x14ac:dyDescent="0.2">
      <c r="A36" s="55" t="s">
        <v>851</v>
      </c>
      <c r="B36" s="56" t="s">
        <v>625</v>
      </c>
      <c r="C36" s="77">
        <v>46294.17</v>
      </c>
      <c r="E36" s="77">
        <v>108650</v>
      </c>
      <c r="G36" s="77">
        <v>97350</v>
      </c>
      <c r="I36" s="77">
        <v>85550</v>
      </c>
      <c r="K36" s="77">
        <v>85550</v>
      </c>
      <c r="M36" s="77">
        <v>85550</v>
      </c>
      <c r="O36" s="77">
        <v>0</v>
      </c>
      <c r="Q36" s="77">
        <f t="shared" si="0"/>
        <v>85550</v>
      </c>
      <c r="S36" s="77">
        <v>76450</v>
      </c>
      <c r="U36" s="77">
        <v>76450</v>
      </c>
      <c r="W36" s="77">
        <v>76450</v>
      </c>
      <c r="Y36" s="77">
        <f t="shared" si="1"/>
        <v>-9100</v>
      </c>
      <c r="Z36" s="57"/>
      <c r="AA36" s="58">
        <f t="shared" si="2"/>
        <v>-0.10637054354178843</v>
      </c>
      <c r="AB36" s="57"/>
      <c r="AC36" s="77">
        <f t="shared" si="3"/>
        <v>-9100</v>
      </c>
      <c r="AD36" s="57"/>
      <c r="AE36" s="58">
        <f t="shared" si="4"/>
        <v>-0.10637054354178843</v>
      </c>
      <c r="AF36" s="57"/>
      <c r="AG36" s="57"/>
      <c r="AH36" s="57"/>
      <c r="AI36" s="57"/>
      <c r="AJ36" s="57"/>
    </row>
    <row r="37" spans="1:36" ht="12.75" customHeight="1" x14ac:dyDescent="0.2">
      <c r="A37" s="59" t="s">
        <v>852</v>
      </c>
      <c r="B37" s="60" t="s">
        <v>853</v>
      </c>
      <c r="C37" s="79">
        <v>0</v>
      </c>
      <c r="D37" s="80"/>
      <c r="E37" s="79">
        <v>58002.78</v>
      </c>
      <c r="F37" s="80"/>
      <c r="G37" s="79">
        <v>78500</v>
      </c>
      <c r="H37" s="79"/>
      <c r="I37" s="79">
        <v>75100</v>
      </c>
      <c r="J37" s="79"/>
      <c r="K37" s="79">
        <v>75100</v>
      </c>
      <c r="L37" s="79"/>
      <c r="M37" s="79">
        <v>75100</v>
      </c>
      <c r="N37" s="79"/>
      <c r="O37" s="79">
        <v>0</v>
      </c>
      <c r="P37" s="79"/>
      <c r="Q37" s="79">
        <f t="shared" si="0"/>
        <v>75100</v>
      </c>
      <c r="R37" s="79"/>
      <c r="S37" s="79">
        <v>71600</v>
      </c>
      <c r="T37" s="79"/>
      <c r="U37" s="79">
        <v>71600</v>
      </c>
      <c r="V37" s="79"/>
      <c r="W37" s="79">
        <v>71600</v>
      </c>
      <c r="X37" s="79"/>
      <c r="Y37" s="79">
        <f t="shared" si="1"/>
        <v>-3500</v>
      </c>
      <c r="Z37" s="62"/>
      <c r="AA37" s="63">
        <f t="shared" si="2"/>
        <v>-4.6604527296937419E-2</v>
      </c>
      <c r="AB37" s="62"/>
      <c r="AC37" s="79">
        <f t="shared" si="3"/>
        <v>-3500</v>
      </c>
      <c r="AD37" s="62"/>
      <c r="AE37" s="63">
        <f t="shared" si="4"/>
        <v>-4.6604527296937419E-2</v>
      </c>
      <c r="AF37" s="57"/>
      <c r="AG37" s="57"/>
      <c r="AH37" s="57"/>
      <c r="AI37" s="57"/>
      <c r="AJ37" s="57"/>
    </row>
    <row r="38" spans="1:36" ht="12.75" customHeight="1" x14ac:dyDescent="0.2">
      <c r="A38" s="55" t="s">
        <v>854</v>
      </c>
      <c r="B38" s="56" t="s">
        <v>855</v>
      </c>
      <c r="C38" s="77">
        <v>0</v>
      </c>
      <c r="E38" s="77">
        <v>0</v>
      </c>
      <c r="G38" s="77">
        <v>170000</v>
      </c>
      <c r="I38" s="77">
        <v>175000</v>
      </c>
      <c r="K38" s="77">
        <v>175000</v>
      </c>
      <c r="M38" s="77">
        <v>175000</v>
      </c>
      <c r="O38" s="77">
        <v>0</v>
      </c>
      <c r="Q38" s="77">
        <f t="shared" si="0"/>
        <v>175000</v>
      </c>
      <c r="S38" s="77">
        <v>180000</v>
      </c>
      <c r="U38" s="77">
        <v>180000</v>
      </c>
      <c r="W38" s="77">
        <v>180000</v>
      </c>
      <c r="Y38" s="77">
        <f t="shared" si="1"/>
        <v>5000</v>
      </c>
      <c r="Z38" s="57"/>
      <c r="AA38" s="58">
        <f t="shared" si="2"/>
        <v>2.8571428571428574E-2</v>
      </c>
      <c r="AB38" s="57"/>
      <c r="AC38" s="77">
        <f t="shared" si="3"/>
        <v>5000</v>
      </c>
      <c r="AD38" s="57"/>
      <c r="AE38" s="58">
        <f t="shared" si="4"/>
        <v>2.8571428571428574E-2</v>
      </c>
      <c r="AF38" s="57"/>
      <c r="AG38" s="57"/>
      <c r="AH38" s="57"/>
      <c r="AI38" s="57"/>
      <c r="AJ38" s="57"/>
    </row>
    <row r="39" spans="1:36" ht="12.75" customHeight="1" x14ac:dyDescent="0.2">
      <c r="A39" s="59" t="s">
        <v>856</v>
      </c>
      <c r="B39" s="60" t="s">
        <v>626</v>
      </c>
      <c r="C39" s="79">
        <v>0</v>
      </c>
      <c r="D39" s="80"/>
      <c r="E39" s="79">
        <v>95.46</v>
      </c>
      <c r="F39" s="80"/>
      <c r="G39" s="79">
        <v>0</v>
      </c>
      <c r="H39" s="79"/>
      <c r="I39" s="79">
        <v>1000</v>
      </c>
      <c r="J39" s="79"/>
      <c r="K39" s="79">
        <v>1000</v>
      </c>
      <c r="L39" s="79"/>
      <c r="M39" s="79">
        <v>875.48</v>
      </c>
      <c r="N39" s="79"/>
      <c r="O39" s="79">
        <v>0</v>
      </c>
      <c r="P39" s="79"/>
      <c r="Q39" s="79">
        <f t="shared" si="0"/>
        <v>875.48</v>
      </c>
      <c r="R39" s="79"/>
      <c r="S39" s="79">
        <v>1000</v>
      </c>
      <c r="T39" s="79"/>
      <c r="U39" s="79">
        <v>1000</v>
      </c>
      <c r="V39" s="79"/>
      <c r="W39" s="79">
        <v>1000</v>
      </c>
      <c r="X39" s="79"/>
      <c r="Y39" s="79">
        <f t="shared" si="1"/>
        <v>0</v>
      </c>
      <c r="Z39" s="62"/>
      <c r="AA39" s="63">
        <f t="shared" si="2"/>
        <v>0</v>
      </c>
      <c r="AB39" s="62"/>
      <c r="AC39" s="79">
        <f t="shared" si="3"/>
        <v>124.51999999999998</v>
      </c>
      <c r="AD39" s="62"/>
      <c r="AE39" s="63">
        <f t="shared" si="4"/>
        <v>0.1422305478137707</v>
      </c>
      <c r="AF39" s="57"/>
      <c r="AG39" s="57"/>
      <c r="AH39" s="57"/>
      <c r="AI39" s="57"/>
      <c r="AJ39" s="57"/>
    </row>
    <row r="40" spans="1:36" ht="12.75" customHeight="1" x14ac:dyDescent="0.2">
      <c r="A40" s="55" t="s">
        <v>857</v>
      </c>
      <c r="B40" s="56" t="s">
        <v>858</v>
      </c>
      <c r="C40" s="77">
        <v>0</v>
      </c>
      <c r="E40" s="77">
        <v>0</v>
      </c>
      <c r="G40" s="77">
        <v>0</v>
      </c>
      <c r="I40" s="77">
        <v>135000</v>
      </c>
      <c r="K40" s="77">
        <v>135000</v>
      </c>
      <c r="M40" s="77">
        <v>126884.72</v>
      </c>
      <c r="O40" s="77">
        <v>0</v>
      </c>
      <c r="Q40" s="77">
        <f t="shared" si="0"/>
        <v>126884.72</v>
      </c>
      <c r="S40" s="77">
        <v>175200</v>
      </c>
      <c r="U40" s="77">
        <v>175200</v>
      </c>
      <c r="W40" s="77">
        <v>175200</v>
      </c>
      <c r="Y40" s="77">
        <f t="shared" si="1"/>
        <v>40200</v>
      </c>
      <c r="Z40" s="57"/>
      <c r="AA40" s="58">
        <f t="shared" si="2"/>
        <v>0.29777777777777781</v>
      </c>
      <c r="AB40" s="57"/>
      <c r="AC40" s="77">
        <f t="shared" si="3"/>
        <v>48315.28</v>
      </c>
      <c r="AD40" s="57"/>
      <c r="AE40" s="58">
        <f t="shared" si="4"/>
        <v>0.38078091672503983</v>
      </c>
      <c r="AF40" s="57"/>
      <c r="AG40" s="57"/>
      <c r="AH40" s="57"/>
      <c r="AI40" s="57"/>
      <c r="AJ40" s="57"/>
    </row>
    <row r="41" spans="1:36" ht="12.75" customHeight="1" x14ac:dyDescent="0.2">
      <c r="A41" s="59" t="s">
        <v>859</v>
      </c>
      <c r="B41" s="60" t="s">
        <v>860</v>
      </c>
      <c r="C41" s="79">
        <v>0</v>
      </c>
      <c r="D41" s="80"/>
      <c r="E41" s="79">
        <v>0</v>
      </c>
      <c r="F41" s="80"/>
      <c r="G41" s="79">
        <v>0</v>
      </c>
      <c r="H41" s="79"/>
      <c r="I41" s="79">
        <v>175500</v>
      </c>
      <c r="J41" s="79"/>
      <c r="K41" s="79">
        <v>175500</v>
      </c>
      <c r="L41" s="79"/>
      <c r="M41" s="79">
        <v>180000</v>
      </c>
      <c r="N41" s="79"/>
      <c r="O41" s="79">
        <v>0</v>
      </c>
      <c r="P41" s="79"/>
      <c r="Q41" s="79">
        <f t="shared" si="0"/>
        <v>180000</v>
      </c>
      <c r="R41" s="79"/>
      <c r="S41" s="79">
        <v>130000</v>
      </c>
      <c r="T41" s="79"/>
      <c r="U41" s="79">
        <v>130000</v>
      </c>
      <c r="V41" s="79"/>
      <c r="W41" s="79">
        <v>130000</v>
      </c>
      <c r="X41" s="79"/>
      <c r="Y41" s="79">
        <f t="shared" si="1"/>
        <v>-45500</v>
      </c>
      <c r="Z41" s="62"/>
      <c r="AA41" s="63">
        <f t="shared" si="2"/>
        <v>-0.25925925925925924</v>
      </c>
      <c r="AB41" s="62"/>
      <c r="AC41" s="79">
        <f t="shared" si="3"/>
        <v>-50000</v>
      </c>
      <c r="AD41" s="62"/>
      <c r="AE41" s="63">
        <f t="shared" si="4"/>
        <v>-0.27777777777777779</v>
      </c>
      <c r="AF41" s="57"/>
      <c r="AG41" s="57"/>
      <c r="AH41" s="57"/>
      <c r="AI41" s="57"/>
      <c r="AJ41" s="57"/>
    </row>
    <row r="42" spans="1:36" ht="12.75" customHeight="1" x14ac:dyDescent="0.2">
      <c r="A42" s="55" t="s">
        <v>1065</v>
      </c>
      <c r="B42" s="56" t="s">
        <v>1063</v>
      </c>
      <c r="C42" s="77">
        <v>0</v>
      </c>
      <c r="E42" s="77">
        <v>0</v>
      </c>
      <c r="G42" s="77">
        <v>0</v>
      </c>
      <c r="I42" s="77">
        <v>0</v>
      </c>
      <c r="K42" s="77">
        <v>0</v>
      </c>
      <c r="M42" s="77">
        <v>0</v>
      </c>
      <c r="O42" s="77">
        <v>0</v>
      </c>
      <c r="Q42" s="77">
        <f t="shared" si="0"/>
        <v>0</v>
      </c>
      <c r="S42" s="77">
        <v>405000</v>
      </c>
      <c r="U42" s="77">
        <v>405000</v>
      </c>
      <c r="W42" s="77">
        <v>405000</v>
      </c>
      <c r="Y42" s="77">
        <f t="shared" si="1"/>
        <v>405000</v>
      </c>
      <c r="Z42" s="57"/>
      <c r="AA42" s="58" t="e">
        <f t="shared" si="2"/>
        <v>#DIV/0!</v>
      </c>
      <c r="AB42" s="57"/>
      <c r="AC42" s="77">
        <f t="shared" si="3"/>
        <v>405000</v>
      </c>
      <c r="AD42" s="57"/>
      <c r="AE42" s="58" t="e">
        <f t="shared" si="4"/>
        <v>#DIV/0!</v>
      </c>
      <c r="AF42" s="57"/>
      <c r="AG42" s="57"/>
      <c r="AH42" s="57"/>
      <c r="AI42" s="57"/>
      <c r="AJ42" s="57"/>
    </row>
    <row r="43" spans="1:36" ht="12.75" customHeight="1" x14ac:dyDescent="0.2">
      <c r="A43" s="59" t="s">
        <v>1066</v>
      </c>
      <c r="B43" s="60" t="s">
        <v>1064</v>
      </c>
      <c r="C43" s="79">
        <v>0</v>
      </c>
      <c r="D43" s="80"/>
      <c r="E43" s="79">
        <v>0</v>
      </c>
      <c r="F43" s="80"/>
      <c r="G43" s="79">
        <v>0</v>
      </c>
      <c r="H43" s="79"/>
      <c r="I43" s="79">
        <v>0</v>
      </c>
      <c r="J43" s="79"/>
      <c r="K43" s="79">
        <v>0</v>
      </c>
      <c r="L43" s="79"/>
      <c r="M43" s="79">
        <v>0</v>
      </c>
      <c r="N43" s="79"/>
      <c r="O43" s="79">
        <v>0</v>
      </c>
      <c r="P43" s="79"/>
      <c r="Q43" s="79">
        <f t="shared" si="0"/>
        <v>0</v>
      </c>
      <c r="R43" s="79"/>
      <c r="S43" s="79">
        <v>320000</v>
      </c>
      <c r="T43" s="79"/>
      <c r="U43" s="79">
        <v>320000</v>
      </c>
      <c r="V43" s="79"/>
      <c r="W43" s="79">
        <v>320000</v>
      </c>
      <c r="X43" s="79"/>
      <c r="Y43" s="79">
        <f t="shared" si="1"/>
        <v>320000</v>
      </c>
      <c r="Z43" s="62"/>
      <c r="AA43" s="63" t="e">
        <f t="shared" si="2"/>
        <v>#DIV/0!</v>
      </c>
      <c r="AB43" s="62"/>
      <c r="AC43" s="79">
        <f t="shared" si="3"/>
        <v>320000</v>
      </c>
      <c r="AD43" s="62"/>
      <c r="AE43" s="63" t="e">
        <f t="shared" si="4"/>
        <v>#DIV/0!</v>
      </c>
      <c r="AF43" s="57"/>
      <c r="AG43" s="57"/>
      <c r="AH43" s="57"/>
      <c r="AI43" s="57"/>
      <c r="AJ43" s="57"/>
    </row>
    <row r="44" spans="1:36" ht="12.75" customHeight="1" x14ac:dyDescent="0.2">
      <c r="A44" s="55" t="s">
        <v>861</v>
      </c>
      <c r="B44" s="56" t="s">
        <v>862</v>
      </c>
      <c r="C44" s="77">
        <v>78472.98</v>
      </c>
      <c r="E44" s="77">
        <v>0</v>
      </c>
      <c r="G44" s="77">
        <v>400</v>
      </c>
      <c r="I44" s="77">
        <v>0</v>
      </c>
      <c r="K44" s="77">
        <v>0</v>
      </c>
      <c r="M44" s="77">
        <v>0</v>
      </c>
      <c r="O44" s="77">
        <v>0</v>
      </c>
      <c r="Q44" s="77">
        <f t="shared" si="0"/>
        <v>0</v>
      </c>
      <c r="S44" s="77">
        <v>0</v>
      </c>
      <c r="U44" s="77">
        <v>0</v>
      </c>
      <c r="W44" s="77">
        <v>0</v>
      </c>
      <c r="Y44" s="77">
        <f t="shared" si="1"/>
        <v>0</v>
      </c>
      <c r="Z44" s="57"/>
      <c r="AA44" s="58" t="str">
        <f t="shared" si="2"/>
        <v>N/A</v>
      </c>
      <c r="AB44" s="57"/>
      <c r="AC44" s="77">
        <f t="shared" si="3"/>
        <v>0</v>
      </c>
      <c r="AD44" s="57"/>
      <c r="AE44" s="58" t="str">
        <f t="shared" si="4"/>
        <v>N/A</v>
      </c>
      <c r="AF44" s="57"/>
      <c r="AG44" s="57"/>
      <c r="AH44" s="57"/>
      <c r="AI44" s="57"/>
      <c r="AJ44" s="57"/>
    </row>
    <row r="45" spans="1:36" ht="12.75" customHeight="1" x14ac:dyDescent="0.2">
      <c r="A45" s="59" t="s">
        <v>863</v>
      </c>
      <c r="B45" s="60" t="s">
        <v>864</v>
      </c>
      <c r="C45" s="79">
        <v>3586078.57</v>
      </c>
      <c r="D45" s="80"/>
      <c r="E45" s="79">
        <v>0</v>
      </c>
      <c r="F45" s="80"/>
      <c r="G45" s="79">
        <v>0</v>
      </c>
      <c r="H45" s="79"/>
      <c r="I45" s="79">
        <v>0</v>
      </c>
      <c r="J45" s="79"/>
      <c r="K45" s="79">
        <v>0</v>
      </c>
      <c r="L45" s="79"/>
      <c r="M45" s="79">
        <v>0</v>
      </c>
      <c r="N45" s="79"/>
      <c r="O45" s="79">
        <v>0</v>
      </c>
      <c r="P45" s="79"/>
      <c r="Q45" s="79">
        <f t="shared" si="0"/>
        <v>0</v>
      </c>
      <c r="R45" s="79"/>
      <c r="S45" s="79">
        <v>0</v>
      </c>
      <c r="T45" s="79"/>
      <c r="U45" s="79">
        <v>0</v>
      </c>
      <c r="V45" s="79"/>
      <c r="W45" s="79">
        <v>0</v>
      </c>
      <c r="X45" s="79"/>
      <c r="Y45" s="79">
        <f t="shared" si="1"/>
        <v>0</v>
      </c>
      <c r="Z45" s="62"/>
      <c r="AA45" s="63" t="str">
        <f t="shared" si="2"/>
        <v>N/A</v>
      </c>
      <c r="AB45" s="62"/>
      <c r="AC45" s="79">
        <f t="shared" si="3"/>
        <v>0</v>
      </c>
      <c r="AD45" s="62"/>
      <c r="AE45" s="63" t="str">
        <f t="shared" si="4"/>
        <v>N/A</v>
      </c>
      <c r="AF45" s="57"/>
      <c r="AG45" s="57"/>
      <c r="AH45" s="57"/>
      <c r="AI45" s="57"/>
      <c r="AJ45" s="57"/>
    </row>
    <row r="46" spans="1:36" ht="12.75" customHeight="1" x14ac:dyDescent="0.2">
      <c r="A46" s="64" t="s">
        <v>901</v>
      </c>
      <c r="C46" s="81">
        <f>SUM(C29:C45)</f>
        <v>4488355.7299999995</v>
      </c>
      <c r="E46" s="81">
        <f>SUM(E29:E45)</f>
        <v>868794.5</v>
      </c>
      <c r="G46" s="81">
        <f>SUM(G29:G45)</f>
        <v>1061946.26</v>
      </c>
      <c r="I46" s="81">
        <f>SUM(I29:I45)</f>
        <v>1716200</v>
      </c>
      <c r="K46" s="81">
        <f>SUM(K29:K45)</f>
        <v>1716200</v>
      </c>
      <c r="M46" s="81">
        <f>SUM(M29:M45)</f>
        <v>1372656.46</v>
      </c>
      <c r="O46" s="81">
        <f>SUM(O29:O45)</f>
        <v>0</v>
      </c>
      <c r="Q46" s="81">
        <f>SUM(Q29:Q45)</f>
        <v>1372656.46</v>
      </c>
      <c r="S46" s="81">
        <f>SUM(S29:S45)</f>
        <v>2346450</v>
      </c>
      <c r="U46" s="81">
        <f>SUM(U29:U45)</f>
        <v>2346450</v>
      </c>
      <c r="W46" s="81">
        <f>SUM(W29:W45)</f>
        <v>2346450</v>
      </c>
      <c r="Y46" s="81">
        <f>SUM(Y29:Y45)</f>
        <v>630250</v>
      </c>
      <c r="Z46" s="57"/>
      <c r="AA46" s="65">
        <f t="shared" si="2"/>
        <v>0.36723575340869363</v>
      </c>
      <c r="AB46" s="57"/>
      <c r="AC46" s="81">
        <f>SUM(AC29:AC45)</f>
        <v>973793.54</v>
      </c>
      <c r="AD46" s="57"/>
      <c r="AE46" s="65">
        <f t="shared" si="4"/>
        <v>0.70942261838770648</v>
      </c>
      <c r="AF46" s="57"/>
      <c r="AG46" s="57"/>
      <c r="AH46" s="57"/>
      <c r="AI46" s="57"/>
      <c r="AJ46" s="57"/>
    </row>
    <row r="47" spans="1:36" ht="12.75" customHeight="1" x14ac:dyDescent="0.2">
      <c r="Z47" s="57"/>
      <c r="AA47" s="58"/>
      <c r="AB47" s="57"/>
      <c r="AD47" s="57"/>
      <c r="AE47" s="58"/>
      <c r="AF47" s="57"/>
      <c r="AG47" s="57"/>
      <c r="AH47" s="57"/>
      <c r="AI47" s="57"/>
      <c r="AJ47" s="57"/>
    </row>
    <row r="48" spans="1:36" ht="12.75" customHeight="1" thickBot="1" x14ac:dyDescent="0.25">
      <c r="A48" s="67" t="s">
        <v>866</v>
      </c>
      <c r="C48" s="83">
        <f>SUM(C46)</f>
        <v>4488355.7299999995</v>
      </c>
      <c r="E48" s="83">
        <f>SUM(E46)</f>
        <v>868794.5</v>
      </c>
      <c r="G48" s="83">
        <f>SUM(G46)</f>
        <v>1061946.26</v>
      </c>
      <c r="I48" s="83">
        <f>SUM(I46)</f>
        <v>1716200</v>
      </c>
      <c r="K48" s="83">
        <f>SUM(K46)</f>
        <v>1716200</v>
      </c>
      <c r="M48" s="82">
        <f>SUM(M46)</f>
        <v>1372656.46</v>
      </c>
      <c r="O48" s="82">
        <f>SUM(O46)</f>
        <v>0</v>
      </c>
      <c r="Q48" s="83">
        <f>SUM(Q46)</f>
        <v>1372656.46</v>
      </c>
      <c r="S48" s="82">
        <f>SUM(S46)</f>
        <v>2346450</v>
      </c>
      <c r="U48" s="82">
        <f>SUM(U46)</f>
        <v>2346450</v>
      </c>
      <c r="W48" s="83">
        <f>SUM(W46)</f>
        <v>2346450</v>
      </c>
      <c r="Y48" s="82">
        <f>SUM(Y46)</f>
        <v>630250</v>
      </c>
      <c r="Z48" s="87"/>
      <c r="AA48" s="125">
        <f>IF(W48=0,"N/A",PRODUCT(Y48,1/I48))</f>
        <v>0.36723575340869363</v>
      </c>
      <c r="AB48" s="57"/>
      <c r="AC48" s="82">
        <f>SUM(AC46)</f>
        <v>973793.54</v>
      </c>
      <c r="AD48" s="57"/>
      <c r="AE48" s="125">
        <f>IF(W48=0,"N/A",PRODUCT(AC48,1/Q48))</f>
        <v>0.70942261838770648</v>
      </c>
      <c r="AF48" s="57"/>
      <c r="AG48" s="57"/>
      <c r="AH48" s="57"/>
      <c r="AI48" s="57"/>
      <c r="AJ48" s="57"/>
    </row>
    <row r="49" spans="1:36" ht="12.75" customHeight="1" thickTop="1" x14ac:dyDescent="0.2">
      <c r="Z49" s="57"/>
      <c r="AA49" s="57"/>
      <c r="AB49" s="57"/>
      <c r="AD49" s="57"/>
      <c r="AE49" s="57"/>
      <c r="AF49" s="57"/>
      <c r="AG49" s="57"/>
      <c r="AH49" s="57"/>
      <c r="AI49" s="57"/>
      <c r="AJ49" s="57"/>
    </row>
    <row r="50" spans="1:36" ht="12.75" customHeight="1" x14ac:dyDescent="0.2">
      <c r="Z50" s="57"/>
      <c r="AA50" s="57"/>
      <c r="AB50" s="57"/>
      <c r="AD50" s="57"/>
      <c r="AE50" s="57"/>
      <c r="AF50" s="57"/>
      <c r="AG50" s="57"/>
      <c r="AH50" s="57"/>
      <c r="AI50" s="57"/>
      <c r="AJ50" s="57"/>
    </row>
    <row r="51" spans="1:36" ht="12.75" customHeight="1" x14ac:dyDescent="0.2">
      <c r="Z51" s="57"/>
      <c r="AA51" s="57"/>
      <c r="AB51" s="57"/>
      <c r="AD51" s="57"/>
      <c r="AE51" s="57"/>
      <c r="AF51" s="57"/>
      <c r="AG51" s="57"/>
      <c r="AH51" s="57"/>
      <c r="AI51" s="57"/>
      <c r="AJ51" s="57"/>
    </row>
    <row r="52" spans="1:36" ht="12.75" customHeight="1" x14ac:dyDescent="0.2">
      <c r="A52" s="67" t="s">
        <v>786</v>
      </c>
      <c r="C52" s="88">
        <f>SUM(C23,-C48)</f>
        <v>25296.620000001043</v>
      </c>
      <c r="E52" s="88">
        <f>SUM(E23,-E48)</f>
        <v>-39769.160000000033</v>
      </c>
      <c r="G52" s="88">
        <f>SUM(G23,-G48)</f>
        <v>16240.280000000028</v>
      </c>
      <c r="I52" s="88">
        <f>SUM(I23,-I48)</f>
        <v>-10950</v>
      </c>
      <c r="K52" s="88">
        <f>SUM(K23,-K48)</f>
        <v>-10950</v>
      </c>
      <c r="M52" s="88">
        <f>SUM(M23,-M48)</f>
        <v>383368.8200000003</v>
      </c>
      <c r="O52" s="88">
        <f>SUM(O23,-O48)</f>
        <v>0</v>
      </c>
      <c r="Q52" s="88">
        <f>SUM(Q23,-Q48)</f>
        <v>383368.8200000003</v>
      </c>
      <c r="S52" s="88">
        <f>SUM(S23,-S48)</f>
        <v>0</v>
      </c>
      <c r="U52" s="88">
        <f>SUM(U23,-U48)</f>
        <v>0</v>
      </c>
      <c r="W52" s="88">
        <f>SUM(W23,-W48)</f>
        <v>0</v>
      </c>
      <c r="Z52" s="57"/>
      <c r="AA52" s="57"/>
      <c r="AB52" s="57"/>
      <c r="AD52" s="57"/>
      <c r="AE52" s="87"/>
      <c r="AF52" s="57"/>
      <c r="AG52" s="57"/>
      <c r="AH52" s="57"/>
      <c r="AI52" s="57"/>
      <c r="AJ52" s="57"/>
    </row>
    <row r="53" spans="1:36" ht="12.75" customHeight="1" x14ac:dyDescent="0.2">
      <c r="Z53" s="57"/>
      <c r="AA53" s="57"/>
      <c r="AB53" s="57"/>
      <c r="AD53" s="57"/>
      <c r="AE53" s="57"/>
      <c r="AF53" s="57"/>
      <c r="AG53" s="57"/>
      <c r="AH53" s="57"/>
      <c r="AI53" s="57"/>
      <c r="AJ53" s="57"/>
    </row>
    <row r="54" spans="1:36" ht="12.75" customHeight="1" x14ac:dyDescent="0.2">
      <c r="A54" s="70" t="s">
        <v>787</v>
      </c>
      <c r="C54" s="77">
        <v>79297.67</v>
      </c>
      <c r="E54" s="77">
        <f>C58</f>
        <v>104594.29000000104</v>
      </c>
      <c r="G54" s="77">
        <f>E58</f>
        <v>64825.130000001009</v>
      </c>
      <c r="I54" s="77">
        <f>G58</f>
        <v>81065.410000001037</v>
      </c>
      <c r="K54" s="77">
        <f>G58</f>
        <v>81065.410000001037</v>
      </c>
      <c r="Q54" s="77">
        <f>G58</f>
        <v>81065.410000001037</v>
      </c>
      <c r="W54" s="77">
        <f>Q58</f>
        <v>464434.23000000132</v>
      </c>
      <c r="Z54" s="57"/>
      <c r="AA54" s="57"/>
      <c r="AB54" s="57"/>
      <c r="AD54" s="57"/>
      <c r="AE54" s="57"/>
      <c r="AF54" s="57"/>
      <c r="AG54" s="57"/>
      <c r="AH54" s="57"/>
      <c r="AI54" s="57"/>
      <c r="AJ54" s="57"/>
    </row>
    <row r="55" spans="1:36" ht="12.75" customHeight="1" x14ac:dyDescent="0.2">
      <c r="Z55" s="57"/>
      <c r="AA55" s="57"/>
      <c r="AB55" s="57"/>
      <c r="AD55" s="57"/>
      <c r="AE55" s="57"/>
      <c r="AF55" s="57"/>
      <c r="AG55" s="57"/>
      <c r="AH55" s="57"/>
      <c r="AI55" s="57"/>
      <c r="AJ55" s="57"/>
    </row>
    <row r="56" spans="1:36" ht="12.75" customHeight="1" x14ac:dyDescent="0.2">
      <c r="A56" s="70" t="s">
        <v>788</v>
      </c>
      <c r="C56" s="77">
        <v>0</v>
      </c>
      <c r="E56" s="77">
        <v>0</v>
      </c>
      <c r="G56" s="77">
        <v>0</v>
      </c>
      <c r="I56" s="77">
        <v>0</v>
      </c>
      <c r="K56" s="77">
        <v>0</v>
      </c>
      <c r="Q56" s="77">
        <v>0</v>
      </c>
      <c r="W56" s="77">
        <v>0</v>
      </c>
      <c r="Z56" s="57"/>
      <c r="AA56" s="57"/>
      <c r="AB56" s="57"/>
      <c r="AD56" s="57"/>
      <c r="AE56" s="57"/>
      <c r="AF56" s="57"/>
      <c r="AG56" s="57"/>
      <c r="AH56" s="57"/>
      <c r="AI56" s="57"/>
      <c r="AJ56" s="57"/>
    </row>
    <row r="57" spans="1:36" ht="12.75" customHeight="1" x14ac:dyDescent="0.2">
      <c r="Z57" s="57"/>
      <c r="AA57" s="57"/>
      <c r="AB57" s="57"/>
      <c r="AD57" s="57"/>
      <c r="AE57" s="57"/>
      <c r="AF57" s="57"/>
      <c r="AG57" s="57"/>
      <c r="AH57" s="57"/>
      <c r="AI57" s="57"/>
      <c r="AJ57" s="57"/>
    </row>
    <row r="58" spans="1:36" ht="12.75" customHeight="1" thickBot="1" x14ac:dyDescent="0.25">
      <c r="A58" s="67" t="s">
        <v>789</v>
      </c>
      <c r="C58" s="83">
        <f>SUM(C52,C54,C56)</f>
        <v>104594.29000000104</v>
      </c>
      <c r="E58" s="83">
        <f>SUM(E52,E54,E56)</f>
        <v>64825.130000001009</v>
      </c>
      <c r="G58" s="83">
        <f>SUM(G52,G54,G56)</f>
        <v>81065.410000001037</v>
      </c>
      <c r="I58" s="83">
        <f>SUM(I52,I54,I56)</f>
        <v>70115.410000001037</v>
      </c>
      <c r="K58" s="83">
        <f>SUM(K52,K54,K56)</f>
        <v>70115.410000001037</v>
      </c>
      <c r="M58" s="88"/>
      <c r="O58" s="88"/>
      <c r="Q58" s="83">
        <f>SUM(Q52,Q54,Q56)</f>
        <v>464434.23000000132</v>
      </c>
      <c r="S58" s="88"/>
      <c r="U58" s="88"/>
      <c r="W58" s="83">
        <f>SUM(W52,W54,W56)</f>
        <v>464434.23000000132</v>
      </c>
      <c r="Z58" s="57"/>
      <c r="AA58" s="57"/>
      <c r="AB58" s="57"/>
      <c r="AD58" s="57"/>
      <c r="AE58" s="87"/>
      <c r="AF58" s="57"/>
      <c r="AG58" s="57"/>
      <c r="AH58" s="57"/>
      <c r="AI58" s="57"/>
      <c r="AJ58" s="57"/>
    </row>
    <row r="59" spans="1:36" ht="12.75" customHeight="1" thickTop="1" x14ac:dyDescent="0.2">
      <c r="Z59" s="57"/>
      <c r="AA59" s="57"/>
      <c r="AB59" s="57"/>
      <c r="AD59" s="57"/>
      <c r="AE59" s="57"/>
      <c r="AF59" s="57"/>
      <c r="AG59" s="57"/>
      <c r="AH59" s="57"/>
      <c r="AI59" s="57"/>
      <c r="AJ59" s="57"/>
    </row>
    <row r="60" spans="1:36" ht="12.75" customHeight="1" x14ac:dyDescent="0.2">
      <c r="Z60" s="57"/>
      <c r="AA60" s="57"/>
      <c r="AB60" s="57"/>
      <c r="AD60" s="57"/>
      <c r="AE60" s="57"/>
      <c r="AF60" s="57"/>
      <c r="AG60" s="57"/>
      <c r="AH60" s="57"/>
      <c r="AI60" s="57"/>
      <c r="AJ60" s="57"/>
    </row>
    <row r="61" spans="1:36" ht="12.75" customHeight="1" x14ac:dyDescent="0.2">
      <c r="Z61" s="57"/>
      <c r="AA61" s="57"/>
      <c r="AB61" s="57"/>
      <c r="AD61" s="57"/>
      <c r="AE61" s="57"/>
      <c r="AF61" s="57"/>
      <c r="AG61" s="57"/>
      <c r="AH61" s="57"/>
      <c r="AI61" s="57"/>
      <c r="AJ61" s="57"/>
    </row>
    <row r="62" spans="1:36" x14ac:dyDescent="0.2">
      <c r="Z62" s="57"/>
      <c r="AA62" s="57"/>
      <c r="AB62" s="57"/>
      <c r="AD62" s="57"/>
      <c r="AE62" s="57"/>
      <c r="AF62" s="57"/>
      <c r="AG62" s="57"/>
      <c r="AH62" s="57"/>
      <c r="AI62" s="57"/>
      <c r="AJ62" s="57"/>
    </row>
    <row r="63" spans="1:36" x14ac:dyDescent="0.2">
      <c r="Z63" s="57"/>
      <c r="AA63" s="57"/>
      <c r="AB63" s="57"/>
      <c r="AD63" s="57"/>
      <c r="AE63" s="57"/>
      <c r="AF63" s="57"/>
      <c r="AG63" s="57"/>
      <c r="AH63" s="57"/>
      <c r="AI63" s="57"/>
      <c r="AJ63" s="57"/>
    </row>
    <row r="64" spans="1:36" x14ac:dyDescent="0.2">
      <c r="Z64" s="57"/>
      <c r="AA64" s="57"/>
      <c r="AB64" s="57"/>
      <c r="AD64" s="57"/>
      <c r="AE64" s="57"/>
      <c r="AF64" s="57"/>
      <c r="AG64" s="57"/>
      <c r="AH64" s="57"/>
      <c r="AI64" s="57"/>
      <c r="AJ64" s="57"/>
    </row>
    <row r="65" spans="26:36" x14ac:dyDescent="0.2">
      <c r="Z65" s="57"/>
      <c r="AA65" s="57"/>
      <c r="AB65" s="57"/>
      <c r="AD65" s="57"/>
      <c r="AE65" s="57"/>
      <c r="AF65" s="57"/>
      <c r="AG65" s="57"/>
      <c r="AH65" s="57"/>
      <c r="AI65" s="57"/>
      <c r="AJ65" s="57"/>
    </row>
    <row r="66" spans="26:36" x14ac:dyDescent="0.2">
      <c r="Z66" s="57"/>
      <c r="AA66" s="57"/>
      <c r="AB66" s="57"/>
      <c r="AD66" s="57"/>
      <c r="AE66" s="57"/>
      <c r="AF66" s="57"/>
      <c r="AG66" s="57"/>
      <c r="AH66" s="57"/>
      <c r="AI66" s="57"/>
      <c r="AJ66" s="57"/>
    </row>
    <row r="67" spans="26:36" x14ac:dyDescent="0.2">
      <c r="Z67" s="57"/>
      <c r="AA67" s="57"/>
      <c r="AB67" s="57"/>
      <c r="AD67" s="57"/>
      <c r="AE67" s="57"/>
      <c r="AF67" s="57"/>
      <c r="AG67" s="57"/>
      <c r="AH67" s="57"/>
      <c r="AI67" s="57"/>
      <c r="AJ67" s="57"/>
    </row>
    <row r="68" spans="26:36" x14ac:dyDescent="0.2">
      <c r="Z68" s="57"/>
      <c r="AA68" s="57"/>
      <c r="AB68" s="57"/>
      <c r="AD68" s="57"/>
      <c r="AE68" s="57"/>
      <c r="AF68" s="57"/>
      <c r="AG68" s="57"/>
      <c r="AH68" s="57"/>
      <c r="AI68" s="57"/>
      <c r="AJ68" s="57"/>
    </row>
    <row r="69" spans="26:36" x14ac:dyDescent="0.2">
      <c r="Z69" s="57"/>
      <c r="AA69" s="57"/>
      <c r="AB69" s="57"/>
      <c r="AD69" s="57"/>
      <c r="AE69" s="57"/>
      <c r="AF69" s="57"/>
      <c r="AG69" s="57"/>
      <c r="AH69" s="57"/>
      <c r="AI69" s="57"/>
      <c r="AJ69" s="57"/>
    </row>
    <row r="70" spans="26:36" x14ac:dyDescent="0.2">
      <c r="Z70" s="57"/>
      <c r="AA70" s="57"/>
      <c r="AB70" s="57"/>
      <c r="AD70" s="57"/>
      <c r="AE70" s="57"/>
      <c r="AF70" s="57"/>
      <c r="AG70" s="57"/>
      <c r="AH70" s="57"/>
      <c r="AI70" s="57"/>
      <c r="AJ70" s="57"/>
    </row>
    <row r="71" spans="26:36" x14ac:dyDescent="0.2">
      <c r="Z71" s="57"/>
      <c r="AA71" s="57"/>
      <c r="AB71" s="57"/>
      <c r="AD71" s="57"/>
      <c r="AE71" s="57"/>
      <c r="AF71" s="57"/>
      <c r="AG71" s="57"/>
      <c r="AH71" s="57"/>
      <c r="AI71" s="57"/>
      <c r="AJ71" s="57"/>
    </row>
    <row r="72" spans="26:36" x14ac:dyDescent="0.2">
      <c r="Z72" s="57"/>
      <c r="AA72" s="57"/>
      <c r="AB72" s="57"/>
      <c r="AD72" s="57"/>
      <c r="AE72" s="57"/>
      <c r="AF72" s="57"/>
      <c r="AG72" s="57"/>
      <c r="AH72" s="57"/>
      <c r="AI72" s="57"/>
      <c r="AJ72" s="57"/>
    </row>
    <row r="73" spans="26:36" x14ac:dyDescent="0.2">
      <c r="Z73" s="57"/>
      <c r="AA73" s="57"/>
      <c r="AB73" s="57"/>
      <c r="AD73" s="57"/>
      <c r="AE73" s="57"/>
      <c r="AF73" s="57"/>
      <c r="AG73" s="57"/>
      <c r="AH73" s="57"/>
      <c r="AI73" s="57"/>
      <c r="AJ73" s="57"/>
    </row>
    <row r="74" spans="26:36" x14ac:dyDescent="0.2">
      <c r="Z74" s="57"/>
      <c r="AA74" s="57"/>
      <c r="AB74" s="57"/>
      <c r="AD74" s="57"/>
      <c r="AE74" s="57"/>
      <c r="AF74" s="57"/>
      <c r="AG74" s="57"/>
      <c r="AH74" s="57"/>
      <c r="AI74" s="57"/>
      <c r="AJ74" s="57"/>
    </row>
    <row r="75" spans="26:36" x14ac:dyDescent="0.2">
      <c r="Z75" s="57"/>
      <c r="AA75" s="57"/>
      <c r="AB75" s="57"/>
      <c r="AD75" s="57"/>
      <c r="AE75" s="57"/>
      <c r="AF75" s="57"/>
      <c r="AG75" s="57"/>
      <c r="AH75" s="57"/>
      <c r="AI75" s="57"/>
      <c r="AJ75" s="57"/>
    </row>
    <row r="76" spans="26:36" x14ac:dyDescent="0.2">
      <c r="Z76" s="57"/>
      <c r="AA76" s="57"/>
      <c r="AB76" s="57"/>
      <c r="AD76" s="57"/>
      <c r="AE76" s="57"/>
      <c r="AF76" s="57"/>
      <c r="AG76" s="57"/>
      <c r="AH76" s="57"/>
      <c r="AI76" s="57"/>
      <c r="AJ76" s="57"/>
    </row>
    <row r="77" spans="26:36" x14ac:dyDescent="0.2">
      <c r="Z77" s="57"/>
      <c r="AA77" s="57"/>
      <c r="AB77" s="57"/>
      <c r="AD77" s="57"/>
      <c r="AE77" s="57"/>
      <c r="AF77" s="57"/>
      <c r="AG77" s="57"/>
      <c r="AH77" s="57"/>
      <c r="AI77" s="57"/>
      <c r="AJ77" s="57"/>
    </row>
    <row r="78" spans="26:36" x14ac:dyDescent="0.2">
      <c r="Z78" s="57"/>
      <c r="AA78" s="57"/>
      <c r="AB78" s="57"/>
      <c r="AD78" s="57"/>
      <c r="AE78" s="57"/>
      <c r="AF78" s="57"/>
      <c r="AG78" s="57"/>
      <c r="AH78" s="57"/>
      <c r="AI78" s="57"/>
      <c r="AJ78" s="57"/>
    </row>
    <row r="79" spans="26:36" x14ac:dyDescent="0.2">
      <c r="Z79" s="57"/>
      <c r="AA79" s="57"/>
      <c r="AB79" s="57"/>
      <c r="AD79" s="57"/>
      <c r="AE79" s="57"/>
      <c r="AF79" s="57"/>
      <c r="AG79" s="57"/>
      <c r="AH79" s="57"/>
      <c r="AI79" s="57"/>
      <c r="AJ79" s="57"/>
    </row>
    <row r="80" spans="26:36" x14ac:dyDescent="0.2">
      <c r="Z80" s="57"/>
      <c r="AA80" s="57"/>
      <c r="AB80" s="57"/>
      <c r="AD80" s="57"/>
      <c r="AE80" s="57"/>
      <c r="AF80" s="57"/>
      <c r="AG80" s="57"/>
      <c r="AH80" s="57"/>
      <c r="AI80" s="57"/>
      <c r="AJ80" s="57"/>
    </row>
    <row r="81" spans="26:36" x14ac:dyDescent="0.2">
      <c r="Z81" s="57"/>
      <c r="AA81" s="57"/>
      <c r="AB81" s="57"/>
      <c r="AD81" s="57"/>
      <c r="AE81" s="57"/>
      <c r="AF81" s="57"/>
      <c r="AG81" s="57"/>
      <c r="AH81" s="57"/>
      <c r="AI81" s="57"/>
      <c r="AJ81" s="57"/>
    </row>
    <row r="82" spans="26:36" x14ac:dyDescent="0.2">
      <c r="Z82" s="57"/>
      <c r="AA82" s="57"/>
      <c r="AB82" s="57"/>
      <c r="AD82" s="57"/>
      <c r="AE82" s="57"/>
      <c r="AF82" s="57"/>
      <c r="AG82" s="57"/>
      <c r="AH82" s="57"/>
      <c r="AI82" s="57"/>
      <c r="AJ82" s="57"/>
    </row>
    <row r="83" spans="26:36" x14ac:dyDescent="0.2">
      <c r="Z83" s="57"/>
      <c r="AA83" s="57"/>
      <c r="AB83" s="57"/>
      <c r="AD83" s="57"/>
      <c r="AE83" s="57"/>
      <c r="AF83" s="57"/>
      <c r="AG83" s="57"/>
      <c r="AH83" s="57"/>
      <c r="AI83" s="57"/>
      <c r="AJ83" s="57"/>
    </row>
    <row r="84" spans="26:36" x14ac:dyDescent="0.2">
      <c r="Z84" s="57"/>
      <c r="AA84" s="57"/>
      <c r="AB84" s="57"/>
      <c r="AD84" s="57"/>
      <c r="AE84" s="57"/>
      <c r="AF84" s="57"/>
      <c r="AG84" s="57"/>
      <c r="AH84" s="57"/>
      <c r="AI84" s="57"/>
      <c r="AJ84" s="57"/>
    </row>
    <row r="85" spans="26:36" x14ac:dyDescent="0.2">
      <c r="Z85" s="57"/>
      <c r="AA85" s="57"/>
      <c r="AB85" s="57"/>
      <c r="AD85" s="57"/>
      <c r="AE85" s="57"/>
      <c r="AF85" s="57"/>
      <c r="AG85" s="57"/>
      <c r="AH85" s="57"/>
      <c r="AI85" s="57"/>
      <c r="AJ85" s="57"/>
    </row>
    <row r="86" spans="26:36" x14ac:dyDescent="0.2">
      <c r="Z86" s="57"/>
      <c r="AA86" s="57"/>
      <c r="AB86" s="57"/>
      <c r="AD86" s="57"/>
      <c r="AE86" s="57"/>
      <c r="AF86" s="57"/>
      <c r="AG86" s="57"/>
      <c r="AH86" s="57"/>
      <c r="AI86" s="57"/>
      <c r="AJ86" s="57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2A9B-F777-47C0-9302-07B9509C624B}">
  <sheetPr>
    <tabColor rgb="FF92D050"/>
  </sheetPr>
  <dimension ref="A1:AJ5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ht="12.75" customHeight="1" x14ac:dyDescent="0.2">
      <c r="A4" s="67" t="s">
        <v>881</v>
      </c>
      <c r="Z4" s="57"/>
      <c r="AB4" s="57"/>
      <c r="AD4" s="57"/>
      <c r="AF4" s="57"/>
      <c r="AG4" s="57"/>
      <c r="AH4" s="57"/>
      <c r="AI4" s="57"/>
      <c r="AJ4" s="57"/>
    </row>
    <row r="5" spans="1:36" ht="12.75" customHeight="1" x14ac:dyDescent="0.2">
      <c r="A5" s="54" t="s">
        <v>38</v>
      </c>
      <c r="Z5" s="57"/>
      <c r="AB5" s="57"/>
      <c r="AD5" s="57"/>
      <c r="AF5" s="57"/>
      <c r="AG5" s="57"/>
      <c r="AH5" s="57"/>
      <c r="AI5" s="57"/>
      <c r="AJ5" s="57"/>
    </row>
    <row r="6" spans="1:36" ht="12.75" customHeight="1" x14ac:dyDescent="0.2">
      <c r="A6" s="59" t="s">
        <v>882</v>
      </c>
      <c r="B6" s="60" t="s">
        <v>948</v>
      </c>
      <c r="C6" s="79">
        <v>5956.35</v>
      </c>
      <c r="D6" s="80"/>
      <c r="E6" s="79">
        <v>5042.4799999999996</v>
      </c>
      <c r="F6" s="80"/>
      <c r="G6" s="79">
        <v>2251.4499999999998</v>
      </c>
      <c r="H6" s="79"/>
      <c r="I6" s="79">
        <v>0</v>
      </c>
      <c r="J6" s="79"/>
      <c r="K6" s="79">
        <v>0</v>
      </c>
      <c r="L6" s="79"/>
      <c r="M6" s="79">
        <v>7351.48</v>
      </c>
      <c r="N6" s="79"/>
      <c r="O6" s="79">
        <v>0</v>
      </c>
      <c r="P6" s="79"/>
      <c r="Q6" s="79">
        <f t="shared" ref="Q6:Q12" si="0">SUM(M6,O6)</f>
        <v>7351.48</v>
      </c>
      <c r="R6" s="79"/>
      <c r="S6" s="79">
        <v>0</v>
      </c>
      <c r="T6" s="79"/>
      <c r="U6" s="79">
        <v>0</v>
      </c>
      <c r="V6" s="79"/>
      <c r="W6" s="79">
        <v>0</v>
      </c>
      <c r="X6" s="79"/>
      <c r="Y6" s="79">
        <f>SUM(W6,-I6)</f>
        <v>0</v>
      </c>
      <c r="Z6" s="62"/>
      <c r="AA6" s="63" t="str">
        <f>IF(W6=0,"N/A",PRODUCT(Y6,1/I6))</f>
        <v>N/A</v>
      </c>
      <c r="AB6" s="62"/>
      <c r="AC6" s="79">
        <f>SUM(W6,-Q6)</f>
        <v>-7351.48</v>
      </c>
      <c r="AD6" s="62"/>
      <c r="AE6" s="63" t="str">
        <f>IF(W6=0,"N/A",PRODUCT(AC6,1/Q6))</f>
        <v>N/A</v>
      </c>
      <c r="AF6" s="57"/>
      <c r="AG6" s="57"/>
      <c r="AH6" s="57"/>
      <c r="AI6" s="57"/>
      <c r="AJ6" s="57"/>
    </row>
    <row r="7" spans="1:36" ht="12.75" customHeight="1" x14ac:dyDescent="0.2">
      <c r="A7" s="55" t="s">
        <v>883</v>
      </c>
      <c r="B7" s="56" t="s">
        <v>949</v>
      </c>
      <c r="C7" s="77">
        <v>3260.95</v>
      </c>
      <c r="E7" s="77">
        <v>-2541.79</v>
      </c>
      <c r="G7" s="77">
        <v>2631.35</v>
      </c>
      <c r="I7" s="77">
        <v>0</v>
      </c>
      <c r="K7" s="77">
        <v>0</v>
      </c>
      <c r="M7" s="77">
        <v>3502.3</v>
      </c>
      <c r="O7" s="77">
        <v>0</v>
      </c>
      <c r="Q7" s="77">
        <f t="shared" si="0"/>
        <v>3502.3</v>
      </c>
      <c r="S7" s="77">
        <v>0</v>
      </c>
      <c r="U7" s="77">
        <v>0</v>
      </c>
      <c r="W7" s="77">
        <v>0</v>
      </c>
      <c r="Y7" s="77">
        <f t="shared" ref="Y7:Y12" si="1">SUM(W7,-I7)</f>
        <v>0</v>
      </c>
      <c r="Z7" s="57"/>
      <c r="AA7" s="58" t="str">
        <f t="shared" ref="AA7:AA15" si="2">IF(W7=0,"N/A",PRODUCT(Y7,1/I7))</f>
        <v>N/A</v>
      </c>
      <c r="AB7" s="57"/>
      <c r="AC7" s="77">
        <f t="shared" ref="AC7:AC12" si="3">SUM(W7,-Q7)</f>
        <v>-3502.3</v>
      </c>
      <c r="AD7" s="57"/>
      <c r="AE7" s="58" t="str">
        <f t="shared" ref="AE7:AE12" si="4">IF(W7=0,"N/A",PRODUCT(AC7,1/Q7))</f>
        <v>N/A</v>
      </c>
      <c r="AF7" s="57"/>
      <c r="AG7" s="57"/>
      <c r="AH7" s="57"/>
      <c r="AI7" s="57"/>
      <c r="AJ7" s="57"/>
    </row>
    <row r="8" spans="1:36" ht="12.75" customHeight="1" x14ac:dyDescent="0.2">
      <c r="A8" s="59" t="s">
        <v>884</v>
      </c>
      <c r="B8" s="60" t="s">
        <v>950</v>
      </c>
      <c r="C8" s="79">
        <v>23706.22</v>
      </c>
      <c r="D8" s="80"/>
      <c r="E8" s="79">
        <v>-17092.259999999998</v>
      </c>
      <c r="F8" s="80"/>
      <c r="G8" s="79">
        <v>15255.97</v>
      </c>
      <c r="H8" s="79"/>
      <c r="I8" s="79">
        <v>0</v>
      </c>
      <c r="J8" s="79"/>
      <c r="K8" s="79">
        <v>0</v>
      </c>
      <c r="L8" s="79"/>
      <c r="M8" s="79">
        <v>-13900.86</v>
      </c>
      <c r="N8" s="79"/>
      <c r="O8" s="79">
        <v>0</v>
      </c>
      <c r="P8" s="79"/>
      <c r="Q8" s="79">
        <f t="shared" si="0"/>
        <v>-13900.86</v>
      </c>
      <c r="R8" s="79"/>
      <c r="S8" s="79">
        <v>0</v>
      </c>
      <c r="T8" s="79"/>
      <c r="U8" s="79">
        <v>0</v>
      </c>
      <c r="V8" s="79"/>
      <c r="W8" s="79">
        <v>0</v>
      </c>
      <c r="X8" s="79"/>
      <c r="Y8" s="79">
        <f t="shared" si="1"/>
        <v>0</v>
      </c>
      <c r="Z8" s="62"/>
      <c r="AA8" s="63" t="str">
        <f t="shared" si="2"/>
        <v>N/A</v>
      </c>
      <c r="AB8" s="62"/>
      <c r="AC8" s="79">
        <f t="shared" si="3"/>
        <v>13900.86</v>
      </c>
      <c r="AD8" s="62"/>
      <c r="AE8" s="63" t="str">
        <f t="shared" si="4"/>
        <v>N/A</v>
      </c>
      <c r="AF8" s="57"/>
      <c r="AG8" s="57"/>
      <c r="AH8" s="57"/>
      <c r="AI8" s="57"/>
      <c r="AJ8" s="57"/>
    </row>
    <row r="9" spans="1:36" ht="12.75" customHeight="1" x14ac:dyDescent="0.2">
      <c r="A9" s="55" t="s">
        <v>885</v>
      </c>
      <c r="B9" s="56" t="s">
        <v>951</v>
      </c>
      <c r="C9" s="77">
        <v>24810.01</v>
      </c>
      <c r="E9" s="77">
        <v>5444.44</v>
      </c>
      <c r="G9" s="77">
        <v>16365.33</v>
      </c>
      <c r="I9" s="77">
        <v>0</v>
      </c>
      <c r="K9" s="77">
        <v>0</v>
      </c>
      <c r="M9" s="77">
        <v>13846.19</v>
      </c>
      <c r="O9" s="77">
        <v>0</v>
      </c>
      <c r="Q9" s="77">
        <f t="shared" si="0"/>
        <v>13846.19</v>
      </c>
      <c r="S9" s="77">
        <v>0</v>
      </c>
      <c r="U9" s="77">
        <v>0</v>
      </c>
      <c r="W9" s="77">
        <v>0</v>
      </c>
      <c r="Y9" s="77">
        <f t="shared" si="1"/>
        <v>0</v>
      </c>
      <c r="Z9" s="57"/>
      <c r="AA9" s="58" t="str">
        <f t="shared" si="2"/>
        <v>N/A</v>
      </c>
      <c r="AB9" s="57"/>
      <c r="AC9" s="77">
        <f t="shared" si="3"/>
        <v>-13846.19</v>
      </c>
      <c r="AD9" s="57"/>
      <c r="AE9" s="58" t="str">
        <f t="shared" si="4"/>
        <v>N/A</v>
      </c>
      <c r="AF9" s="57"/>
      <c r="AG9" s="57"/>
      <c r="AH9" s="57"/>
      <c r="AI9" s="57"/>
      <c r="AJ9" s="57"/>
    </row>
    <row r="10" spans="1:36" ht="12.75" customHeight="1" x14ac:dyDescent="0.2">
      <c r="A10" s="59" t="s">
        <v>886</v>
      </c>
      <c r="B10" s="60" t="s">
        <v>958</v>
      </c>
      <c r="C10" s="79">
        <v>319.73</v>
      </c>
      <c r="D10" s="80"/>
      <c r="E10" s="79">
        <v>693.46</v>
      </c>
      <c r="F10" s="80"/>
      <c r="G10" s="79">
        <v>-1886.18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v>0</v>
      </c>
      <c r="P10" s="79"/>
      <c r="Q10" s="79">
        <f t="shared" si="0"/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0</v>
      </c>
      <c r="Z10" s="62"/>
      <c r="AA10" s="63" t="str">
        <f t="shared" si="2"/>
        <v>N/A</v>
      </c>
      <c r="AB10" s="62"/>
      <c r="AC10" s="79">
        <f t="shared" si="3"/>
        <v>0</v>
      </c>
      <c r="AD10" s="62"/>
      <c r="AE10" s="63" t="str">
        <f t="shared" si="4"/>
        <v>N/A</v>
      </c>
      <c r="AF10" s="57"/>
      <c r="AG10" s="57"/>
      <c r="AH10" s="57"/>
      <c r="AI10" s="57"/>
      <c r="AJ10" s="57"/>
    </row>
    <row r="11" spans="1:36" ht="12.75" customHeight="1" x14ac:dyDescent="0.2">
      <c r="A11" s="55" t="s">
        <v>887</v>
      </c>
      <c r="B11" s="56" t="s">
        <v>959</v>
      </c>
      <c r="C11" s="77">
        <v>10072.23</v>
      </c>
      <c r="E11" s="77">
        <v>-3980.99</v>
      </c>
      <c r="G11" s="77">
        <v>-1763.73</v>
      </c>
      <c r="I11" s="77">
        <v>0</v>
      </c>
      <c r="K11" s="77">
        <v>0</v>
      </c>
      <c r="M11" s="77">
        <v>1524.1</v>
      </c>
      <c r="O11" s="77">
        <v>0</v>
      </c>
      <c r="Q11" s="77">
        <f t="shared" si="0"/>
        <v>1524.1</v>
      </c>
      <c r="S11" s="77">
        <v>0</v>
      </c>
      <c r="U11" s="77">
        <v>0</v>
      </c>
      <c r="W11" s="77">
        <v>0</v>
      </c>
      <c r="Y11" s="77">
        <f t="shared" si="1"/>
        <v>0</v>
      </c>
      <c r="Z11" s="57"/>
      <c r="AA11" s="58" t="str">
        <f t="shared" si="2"/>
        <v>N/A</v>
      </c>
      <c r="AB11" s="57"/>
      <c r="AC11" s="77">
        <f t="shared" si="3"/>
        <v>-1524.1</v>
      </c>
      <c r="AD11" s="57"/>
      <c r="AE11" s="58" t="str">
        <f t="shared" si="4"/>
        <v>N/A</v>
      </c>
      <c r="AF11" s="57"/>
      <c r="AG11" s="57"/>
      <c r="AH11" s="57"/>
      <c r="AI11" s="57"/>
      <c r="AJ11" s="57"/>
    </row>
    <row r="12" spans="1:36" ht="12.75" customHeight="1" x14ac:dyDescent="0.2">
      <c r="A12" s="59" t="s">
        <v>888</v>
      </c>
      <c r="B12" s="60" t="s">
        <v>960</v>
      </c>
      <c r="C12" s="79">
        <v>12426.61</v>
      </c>
      <c r="D12" s="80"/>
      <c r="E12" s="79">
        <v>-982.73</v>
      </c>
      <c r="F12" s="80"/>
      <c r="G12" s="79">
        <v>-240.35</v>
      </c>
      <c r="H12" s="79"/>
      <c r="I12" s="79">
        <v>0</v>
      </c>
      <c r="J12" s="79"/>
      <c r="K12" s="79">
        <v>0</v>
      </c>
      <c r="L12" s="79"/>
      <c r="M12" s="79">
        <v>67.790000000000006</v>
      </c>
      <c r="N12" s="79"/>
      <c r="O12" s="79">
        <v>0</v>
      </c>
      <c r="P12" s="79"/>
      <c r="Q12" s="79">
        <f t="shared" si="0"/>
        <v>67.790000000000006</v>
      </c>
      <c r="R12" s="79"/>
      <c r="S12" s="79">
        <v>0</v>
      </c>
      <c r="T12" s="79"/>
      <c r="U12" s="79">
        <v>0</v>
      </c>
      <c r="V12" s="79"/>
      <c r="W12" s="79">
        <v>0</v>
      </c>
      <c r="X12" s="79"/>
      <c r="Y12" s="79">
        <f t="shared" si="1"/>
        <v>0</v>
      </c>
      <c r="Z12" s="62"/>
      <c r="AA12" s="63" t="str">
        <f t="shared" si="2"/>
        <v>N/A</v>
      </c>
      <c r="AB12" s="62"/>
      <c r="AC12" s="79">
        <f t="shared" si="3"/>
        <v>-67.790000000000006</v>
      </c>
      <c r="AD12" s="62"/>
      <c r="AE12" s="63" t="str">
        <f t="shared" si="4"/>
        <v>N/A</v>
      </c>
      <c r="AF12" s="57"/>
      <c r="AG12" s="57"/>
      <c r="AH12" s="57"/>
      <c r="AI12" s="57"/>
      <c r="AJ12" s="57"/>
    </row>
    <row r="13" spans="1:36" ht="12.75" customHeight="1" x14ac:dyDescent="0.2">
      <c r="A13" s="64" t="s">
        <v>47</v>
      </c>
      <c r="C13" s="81">
        <f>SUM(C6:C12)</f>
        <v>80552.100000000006</v>
      </c>
      <c r="E13" s="81">
        <f>SUM(E6:E12)</f>
        <v>-13417.390000000001</v>
      </c>
      <c r="G13" s="81">
        <f>SUM(G6:G12)</f>
        <v>32613.839999999997</v>
      </c>
      <c r="I13" s="81">
        <f>SUM(I6:I12)</f>
        <v>0</v>
      </c>
      <c r="K13" s="81">
        <f>SUM(K6:K12)</f>
        <v>0</v>
      </c>
      <c r="M13" s="81">
        <f>SUM(M6:M12)</f>
        <v>12391</v>
      </c>
      <c r="O13" s="81">
        <f>SUM(O6:O12)</f>
        <v>0</v>
      </c>
      <c r="Q13" s="81">
        <f>SUM(Q6:Q12)</f>
        <v>12391</v>
      </c>
      <c r="S13" s="81">
        <f>SUM(S6:S12)</f>
        <v>0</v>
      </c>
      <c r="U13" s="81">
        <f>SUM(U6:U12)</f>
        <v>0</v>
      </c>
      <c r="W13" s="81">
        <f>SUM(W6:W12)</f>
        <v>0</v>
      </c>
      <c r="Y13" s="81">
        <f>SUM(Y6:Y12)</f>
        <v>0</v>
      </c>
      <c r="Z13" s="57"/>
      <c r="AA13" s="65" t="str">
        <f t="shared" si="2"/>
        <v>N/A</v>
      </c>
      <c r="AB13" s="57"/>
      <c r="AC13" s="81">
        <f>SUM(AC6:AC12)</f>
        <v>-12391</v>
      </c>
      <c r="AD13" s="57"/>
      <c r="AE13" s="65" t="str">
        <f>IF(W13=0,"N/A",PRODUCT(AC13,1/Q13))</f>
        <v>N/A</v>
      </c>
      <c r="AF13" s="57"/>
      <c r="AG13" s="57"/>
      <c r="AH13" s="57"/>
      <c r="AI13" s="57"/>
      <c r="AJ13" s="57"/>
    </row>
    <row r="14" spans="1:36" ht="12.75" customHeight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thickBot="1" x14ac:dyDescent="0.25">
      <c r="A15" s="67" t="s">
        <v>889</v>
      </c>
      <c r="C15" s="83">
        <f>SUM(C13)</f>
        <v>80552.100000000006</v>
      </c>
      <c r="E15" s="83">
        <f>SUM(E13)</f>
        <v>-13417.390000000001</v>
      </c>
      <c r="G15" s="83">
        <f>SUM(G13)</f>
        <v>32613.839999999997</v>
      </c>
      <c r="I15" s="83">
        <f>SUM(I13)</f>
        <v>0</v>
      </c>
      <c r="K15" s="83">
        <f>SUM(K13)</f>
        <v>0</v>
      </c>
      <c r="M15" s="82">
        <f>SUM(M13)</f>
        <v>12391</v>
      </c>
      <c r="O15" s="82">
        <f>SUM(O13)</f>
        <v>0</v>
      </c>
      <c r="Q15" s="83">
        <f>SUM(Q13)</f>
        <v>12391</v>
      </c>
      <c r="S15" s="82">
        <f>SUM(S13)</f>
        <v>0</v>
      </c>
      <c r="U15" s="82">
        <f>SUM(U13)</f>
        <v>0</v>
      </c>
      <c r="W15" s="83">
        <f>SUM(W13)</f>
        <v>0</v>
      </c>
      <c r="Y15" s="82">
        <f>SUM(Y13)</f>
        <v>0</v>
      </c>
      <c r="Z15" s="57"/>
      <c r="AA15" s="125" t="str">
        <f t="shared" si="2"/>
        <v>N/A</v>
      </c>
      <c r="AB15" s="57"/>
      <c r="AC15" s="82">
        <f>SUM(AC13)</f>
        <v>-12391</v>
      </c>
      <c r="AD15" s="57"/>
      <c r="AE15" s="125" t="str">
        <f>IF(W15=0,"N/A",PRODUCT(AC15,1/Q15))</f>
        <v>N/A</v>
      </c>
      <c r="AF15" s="57"/>
      <c r="AG15" s="57"/>
      <c r="AH15" s="57"/>
      <c r="AI15" s="57"/>
      <c r="AJ15" s="57"/>
    </row>
    <row r="16" spans="1:36" ht="12.75" customHeight="1" thickTop="1" x14ac:dyDescent="0.2">
      <c r="Z16" s="57"/>
      <c r="AB16" s="57"/>
      <c r="AD16" s="57"/>
      <c r="AF16" s="57"/>
      <c r="AG16" s="57"/>
      <c r="AH16" s="57"/>
      <c r="AI16" s="57"/>
      <c r="AJ16" s="57"/>
    </row>
    <row r="17" spans="1:36" ht="12.75" customHeight="1" x14ac:dyDescent="0.2">
      <c r="Z17" s="57"/>
      <c r="AB17" s="57"/>
      <c r="AD17" s="57"/>
      <c r="AF17" s="57"/>
      <c r="AG17" s="57"/>
      <c r="AH17" s="57"/>
      <c r="AI17" s="57"/>
      <c r="AJ17" s="57"/>
    </row>
    <row r="18" spans="1:36" ht="12.75" customHeight="1" x14ac:dyDescent="0.2">
      <c r="Z18" s="57"/>
      <c r="AB18" s="57"/>
      <c r="AD18" s="57"/>
      <c r="AF18" s="57"/>
      <c r="AG18" s="57"/>
      <c r="AH18" s="57"/>
      <c r="AI18" s="57"/>
      <c r="AJ18" s="57"/>
    </row>
    <row r="19" spans="1:36" ht="12.75" customHeight="1" x14ac:dyDescent="0.2">
      <c r="A19" s="67" t="s">
        <v>786</v>
      </c>
      <c r="C19" s="88">
        <f>SUM(-C15)</f>
        <v>-80552.100000000006</v>
      </c>
      <c r="E19" s="88">
        <f>SUM(-E15)</f>
        <v>13417.390000000001</v>
      </c>
      <c r="G19" s="88">
        <f>SUM(-G15)</f>
        <v>-32613.839999999997</v>
      </c>
      <c r="I19" s="88">
        <f>SUM(-I15)</f>
        <v>0</v>
      </c>
      <c r="K19" s="88">
        <f>SUM(-K15)</f>
        <v>0</v>
      </c>
      <c r="M19" s="88">
        <f>SUM(-M15)</f>
        <v>-12391</v>
      </c>
      <c r="O19" s="88">
        <f>SUM(-O15)</f>
        <v>0</v>
      </c>
      <c r="Q19" s="88">
        <f>SUM(-Q15)</f>
        <v>-12391</v>
      </c>
      <c r="S19" s="88">
        <f>SUM(-S15)</f>
        <v>0</v>
      </c>
      <c r="U19" s="88">
        <f>SUM(-U15)</f>
        <v>0</v>
      </c>
      <c r="W19" s="88">
        <f>SUM(-W15)</f>
        <v>0</v>
      </c>
      <c r="Z19" s="57"/>
      <c r="AB19" s="57"/>
      <c r="AD19" s="57"/>
      <c r="AE19" s="65"/>
      <c r="AF19" s="57"/>
      <c r="AG19" s="57"/>
      <c r="AH19" s="57"/>
      <c r="AI19" s="57"/>
      <c r="AJ19" s="57"/>
    </row>
    <row r="20" spans="1:36" ht="12.75" customHeight="1" x14ac:dyDescent="0.2">
      <c r="Z20" s="57"/>
      <c r="AB20" s="57"/>
      <c r="AD20" s="57"/>
      <c r="AF20" s="57"/>
      <c r="AG20" s="57"/>
      <c r="AH20" s="57"/>
      <c r="AI20" s="57"/>
      <c r="AJ20" s="57"/>
    </row>
    <row r="21" spans="1:36" ht="12.75" customHeight="1" x14ac:dyDescent="0.2">
      <c r="A21" s="70" t="s">
        <v>787</v>
      </c>
      <c r="C21" s="77">
        <v>-146721.72</v>
      </c>
      <c r="E21" s="77">
        <f>C25</f>
        <v>-227273.82</v>
      </c>
      <c r="G21" s="77">
        <f>E25</f>
        <v>-213856.43</v>
      </c>
      <c r="I21" s="77">
        <f>G25</f>
        <v>-246470.27</v>
      </c>
      <c r="K21" s="77">
        <f>G25</f>
        <v>-246470.27</v>
      </c>
      <c r="Q21" s="77">
        <f>G25</f>
        <v>-246470.27</v>
      </c>
      <c r="W21" s="77">
        <f>Q25</f>
        <v>-258861.27</v>
      </c>
      <c r="Z21" s="57"/>
      <c r="AB21" s="57"/>
      <c r="AD21" s="57"/>
      <c r="AF21" s="57"/>
      <c r="AG21" s="57"/>
      <c r="AH21" s="57"/>
      <c r="AI21" s="57"/>
      <c r="AJ21" s="57"/>
    </row>
    <row r="22" spans="1:36" ht="12.75" customHeight="1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ht="12.75" customHeight="1" x14ac:dyDescent="0.2">
      <c r="A23" s="70" t="s">
        <v>788</v>
      </c>
      <c r="C23" s="77">
        <v>0</v>
      </c>
      <c r="E23" s="77">
        <v>0</v>
      </c>
      <c r="G23" s="77">
        <v>0</v>
      </c>
      <c r="I23" s="77">
        <v>0</v>
      </c>
      <c r="K23" s="77">
        <v>0</v>
      </c>
      <c r="Q23" s="77">
        <v>0</v>
      </c>
      <c r="W23" s="77">
        <v>0</v>
      </c>
      <c r="Z23" s="57"/>
      <c r="AB23" s="57"/>
      <c r="AD23" s="57"/>
      <c r="AF23" s="57"/>
      <c r="AG23" s="57"/>
      <c r="AH23" s="57"/>
      <c r="AI23" s="57"/>
      <c r="AJ23" s="57"/>
    </row>
    <row r="24" spans="1:36" ht="12.75" customHeight="1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ht="12.75" customHeight="1" thickBot="1" x14ac:dyDescent="0.25">
      <c r="A25" s="67" t="s">
        <v>789</v>
      </c>
      <c r="C25" s="83">
        <f>SUM(C19,C21,C23)</f>
        <v>-227273.82</v>
      </c>
      <c r="E25" s="83">
        <f>SUM(E19,E21,E23)</f>
        <v>-213856.43</v>
      </c>
      <c r="G25" s="83">
        <f>SUM(G19,G21,G23)</f>
        <v>-246470.27</v>
      </c>
      <c r="I25" s="83">
        <f>SUM(I19,I21,I23)</f>
        <v>-246470.27</v>
      </c>
      <c r="K25" s="83">
        <f>SUM(K19,K21,K23)</f>
        <v>-246470.27</v>
      </c>
      <c r="M25" s="88"/>
      <c r="O25" s="88"/>
      <c r="Q25" s="83">
        <f>SUM(Q19,Q21,Q23)</f>
        <v>-258861.27</v>
      </c>
      <c r="S25" s="88"/>
      <c r="U25" s="88"/>
      <c r="W25" s="83">
        <f>SUM(W19,W21,W23)</f>
        <v>-258861.27</v>
      </c>
      <c r="Z25" s="57"/>
      <c r="AB25" s="57"/>
      <c r="AD25" s="57"/>
      <c r="AE25" s="65"/>
      <c r="AF25" s="57"/>
      <c r="AG25" s="57"/>
      <c r="AH25" s="57"/>
      <c r="AI25" s="57"/>
      <c r="AJ25" s="57"/>
    </row>
    <row r="26" spans="1:36" ht="12.75" customHeight="1" thickTop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Z27" s="57"/>
      <c r="AB27" s="57"/>
      <c r="AD27" s="57"/>
      <c r="AF27" s="57"/>
      <c r="AG27" s="57"/>
      <c r="AH27" s="57"/>
      <c r="AI27" s="57"/>
      <c r="AJ27" s="57"/>
    </row>
    <row r="28" spans="1:36" ht="12.75" customHeight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ht="12.75" customHeight="1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ht="12.75" customHeight="1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ht="12.75" customHeight="1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92BD-345C-466D-B73D-C80A2ECC93E2}">
  <sheetPr>
    <tabColor rgb="FF92D050"/>
  </sheetPr>
  <dimension ref="A1:AJ6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897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771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5" t="s">
        <v>890</v>
      </c>
      <c r="B6" s="56" t="s">
        <v>256</v>
      </c>
      <c r="C6" s="77">
        <v>-100</v>
      </c>
      <c r="E6" s="77">
        <v>0</v>
      </c>
      <c r="G6" s="77">
        <v>0</v>
      </c>
      <c r="I6" s="77">
        <v>0</v>
      </c>
      <c r="K6" s="77">
        <v>0</v>
      </c>
      <c r="M6" s="77">
        <v>0</v>
      </c>
      <c r="O6" s="77">
        <v>0</v>
      </c>
      <c r="Q6" s="77">
        <f>SUM(M6,O6)</f>
        <v>0</v>
      </c>
      <c r="S6" s="77">
        <v>0</v>
      </c>
      <c r="U6" s="77">
        <v>0</v>
      </c>
      <c r="W6" s="77">
        <v>0</v>
      </c>
      <c r="Y6" s="77">
        <f>SUM(W6,-I6)</f>
        <v>0</v>
      </c>
      <c r="Z6" s="57"/>
      <c r="AA6" s="58" t="str">
        <f>IF(W6=0,"N/A",PRODUCT(Y6,1/I6))</f>
        <v>N/A</v>
      </c>
      <c r="AB6" s="57"/>
      <c r="AC6" s="77">
        <f>SUM(W6,-Q6)</f>
        <v>0</v>
      </c>
      <c r="AD6" s="57"/>
      <c r="AE6" s="58" t="str">
        <f>IF(W6=0,"N/A",PRODUCT(AC6,1/Q6))</f>
        <v>N/A</v>
      </c>
      <c r="AF6" s="57"/>
      <c r="AG6" s="57"/>
      <c r="AH6" s="57"/>
      <c r="AI6" s="57"/>
      <c r="AJ6" s="57"/>
    </row>
    <row r="7" spans="1:36" ht="12.75" customHeight="1" x14ac:dyDescent="0.2">
      <c r="A7" s="59" t="s">
        <v>891</v>
      </c>
      <c r="B7" s="60" t="s">
        <v>490</v>
      </c>
      <c r="C7" s="79">
        <v>-166015.38</v>
      </c>
      <c r="D7" s="80"/>
      <c r="E7" s="79">
        <v>0</v>
      </c>
      <c r="F7" s="80"/>
      <c r="G7" s="79">
        <v>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v>0</v>
      </c>
      <c r="P7" s="79"/>
      <c r="Q7" s="79">
        <f>SUM(M7,O7)</f>
        <v>0</v>
      </c>
      <c r="R7" s="79"/>
      <c r="S7" s="79">
        <v>0</v>
      </c>
      <c r="T7" s="79"/>
      <c r="U7" s="79">
        <v>0</v>
      </c>
      <c r="V7" s="79"/>
      <c r="W7" s="79">
        <v>0</v>
      </c>
      <c r="X7" s="79"/>
      <c r="Y7" s="79">
        <f>SUM(W7,-I7)</f>
        <v>0</v>
      </c>
      <c r="Z7" s="62"/>
      <c r="AA7" s="63" t="str">
        <f>IF(W7=0,"N/A",PRODUCT(Y7,1/I7))</f>
        <v>N/A</v>
      </c>
      <c r="AB7" s="62"/>
      <c r="AC7" s="79">
        <f>SUM(W7,-Q7)</f>
        <v>0</v>
      </c>
      <c r="AD7" s="62"/>
      <c r="AE7" s="63" t="str">
        <f>IF(W7=0,"N/A",PRODUCT(AC7,1/Q7))</f>
        <v>N/A</v>
      </c>
      <c r="AF7" s="57"/>
      <c r="AG7" s="57"/>
      <c r="AH7" s="57"/>
      <c r="AI7" s="57"/>
      <c r="AJ7" s="57"/>
    </row>
    <row r="8" spans="1:36" ht="12.75" customHeight="1" x14ac:dyDescent="0.2">
      <c r="A8" s="64" t="s">
        <v>772</v>
      </c>
      <c r="C8" s="81">
        <f>SUM(C6:C7)</f>
        <v>-166115.38</v>
      </c>
      <c r="E8" s="81">
        <f>SUM(E6:E7)</f>
        <v>0</v>
      </c>
      <c r="G8" s="81">
        <f>SUM(G6:G7)</f>
        <v>0</v>
      </c>
      <c r="I8" s="81">
        <f>SUM(I6:I7)</f>
        <v>0</v>
      </c>
      <c r="K8" s="81">
        <f>SUM(K6:K7)</f>
        <v>0</v>
      </c>
      <c r="M8" s="81">
        <f>SUM(M6:M7)</f>
        <v>0</v>
      </c>
      <c r="O8" s="81">
        <f>SUM(O6:O7)</f>
        <v>0</v>
      </c>
      <c r="Q8" s="81">
        <f>SUM(Q6:Q7)</f>
        <v>0</v>
      </c>
      <c r="S8" s="81">
        <f>SUM(S6:S7)</f>
        <v>0</v>
      </c>
      <c r="U8" s="81">
        <f>SUM(U6:U7)</f>
        <v>0</v>
      </c>
      <c r="W8" s="81">
        <f>SUM(W6:W7)</f>
        <v>0</v>
      </c>
      <c r="Y8" s="81">
        <f>SUM(Y6:Y7)</f>
        <v>0</v>
      </c>
      <c r="Z8" s="57"/>
      <c r="AA8" s="65" t="str">
        <f>IF(W8=0,"N/A",PRODUCT(Y8,1/I8))</f>
        <v>N/A</v>
      </c>
      <c r="AB8" s="57"/>
      <c r="AC8" s="81">
        <f>SUM(AC6:AC7)</f>
        <v>0</v>
      </c>
      <c r="AD8" s="57"/>
      <c r="AE8" s="65" t="str">
        <f>IF(W8=0,"N/A",PRODUCT(AC8,1/Q8))</f>
        <v>N/A</v>
      </c>
      <c r="AF8" s="57"/>
      <c r="AG8" s="57"/>
      <c r="AH8" s="57"/>
      <c r="AI8" s="57"/>
      <c r="AJ8" s="57"/>
    </row>
    <row r="9" spans="1:36" ht="12.75" customHeight="1" x14ac:dyDescent="0.2">
      <c r="Z9" s="57"/>
      <c r="AB9" s="57"/>
      <c r="AD9" s="57"/>
      <c r="AF9" s="57"/>
      <c r="AG9" s="57"/>
      <c r="AH9" s="57"/>
      <c r="AI9" s="57"/>
      <c r="AJ9" s="57"/>
    </row>
    <row r="10" spans="1:36" ht="12.75" customHeight="1" thickBot="1" x14ac:dyDescent="0.25">
      <c r="A10" s="67" t="s">
        <v>898</v>
      </c>
      <c r="C10" s="83">
        <f>SUM(C8)</f>
        <v>-166115.38</v>
      </c>
      <c r="E10" s="83">
        <f>SUM(E8)</f>
        <v>0</v>
      </c>
      <c r="G10" s="83">
        <f>SUM(G8)</f>
        <v>0</v>
      </c>
      <c r="I10" s="83">
        <f>SUM(I8)</f>
        <v>0</v>
      </c>
      <c r="K10" s="83">
        <f>SUM(K8)</f>
        <v>0</v>
      </c>
      <c r="M10" s="82">
        <f>SUM(M8)</f>
        <v>0</v>
      </c>
      <c r="O10" s="82">
        <f>SUM(O8)</f>
        <v>0</v>
      </c>
      <c r="Q10" s="83">
        <f>SUM(Q8)</f>
        <v>0</v>
      </c>
      <c r="S10" s="82">
        <f>SUM(S8)</f>
        <v>0</v>
      </c>
      <c r="U10" s="82">
        <f>SUM(U8)</f>
        <v>0</v>
      </c>
      <c r="W10" s="83">
        <f>SUM(W8)</f>
        <v>0</v>
      </c>
      <c r="Y10" s="82">
        <f>SUM(Y8)</f>
        <v>0</v>
      </c>
      <c r="Z10" s="57"/>
      <c r="AA10" s="125" t="str">
        <f>IF(W10=0,"N/A",PRODUCT(Y10,1/I10))</f>
        <v>N/A</v>
      </c>
      <c r="AB10" s="57"/>
      <c r="AC10" s="82">
        <f>SUM(AC8)</f>
        <v>0</v>
      </c>
      <c r="AD10" s="57"/>
      <c r="AE10" s="125" t="str">
        <f>IF(W10=0,"N/A",PRODUCT(AC10,1/Q10))</f>
        <v>N/A</v>
      </c>
      <c r="AF10" s="57"/>
      <c r="AG10" s="57"/>
      <c r="AH10" s="57"/>
      <c r="AI10" s="57"/>
      <c r="AJ10" s="57"/>
    </row>
    <row r="11" spans="1:36" ht="12.75" customHeight="1" thickTop="1" x14ac:dyDescent="0.2">
      <c r="Z11" s="57"/>
      <c r="AB11" s="57"/>
      <c r="AD11" s="57"/>
      <c r="AF11" s="57"/>
      <c r="AG11" s="57"/>
      <c r="AH11" s="57"/>
      <c r="AI11" s="57"/>
      <c r="AJ11" s="57"/>
    </row>
    <row r="12" spans="1:36" ht="12.75" customHeight="1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2.75" customHeight="1" x14ac:dyDescent="0.2">
      <c r="Z13" s="57"/>
      <c r="AB13" s="57"/>
      <c r="AD13" s="57"/>
      <c r="AF13" s="57"/>
      <c r="AG13" s="57"/>
      <c r="AH13" s="57"/>
      <c r="AI13" s="57"/>
      <c r="AJ13" s="57"/>
    </row>
    <row r="14" spans="1:36" ht="12.75" customHeight="1" x14ac:dyDescent="0.2">
      <c r="A14" s="67" t="s">
        <v>900</v>
      </c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x14ac:dyDescent="0.2">
      <c r="A15" s="54" t="s">
        <v>69</v>
      </c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A16" s="59" t="s">
        <v>892</v>
      </c>
      <c r="B16" s="60" t="s">
        <v>961</v>
      </c>
      <c r="C16" s="79">
        <v>75411.31</v>
      </c>
      <c r="D16" s="80"/>
      <c r="E16" s="79">
        <v>0</v>
      </c>
      <c r="F16" s="80"/>
      <c r="G16" s="79">
        <v>0</v>
      </c>
      <c r="H16" s="79"/>
      <c r="I16" s="79">
        <v>0</v>
      </c>
      <c r="J16" s="79"/>
      <c r="K16" s="79">
        <v>0</v>
      </c>
      <c r="L16" s="79"/>
      <c r="M16" s="79">
        <v>0</v>
      </c>
      <c r="N16" s="79"/>
      <c r="O16" s="79">
        <v>0</v>
      </c>
      <c r="P16" s="79"/>
      <c r="Q16" s="79">
        <f>SUM(M16,O16)</f>
        <v>0</v>
      </c>
      <c r="R16" s="79"/>
      <c r="S16" s="79">
        <v>0</v>
      </c>
      <c r="T16" s="79"/>
      <c r="U16" s="79">
        <v>0</v>
      </c>
      <c r="V16" s="79"/>
      <c r="W16" s="79">
        <v>0</v>
      </c>
      <c r="X16" s="79"/>
      <c r="Y16" s="79">
        <f>SUM(W16,-I16)</f>
        <v>0</v>
      </c>
      <c r="Z16" s="62"/>
      <c r="AA16" s="63" t="str">
        <f t="shared" ref="AA16:AA21" si="0">IF(W16=0,"N/A",PRODUCT(Y16,1/I16))</f>
        <v>N/A</v>
      </c>
      <c r="AB16" s="62"/>
      <c r="AC16" s="79">
        <f>SUM(W16,-Q16)</f>
        <v>0</v>
      </c>
      <c r="AD16" s="62"/>
      <c r="AE16" s="63" t="str">
        <f t="shared" ref="AE16:AE21" si="1">IF(W16=0,"N/A",PRODUCT(AC16,1/Q16))</f>
        <v>N/A</v>
      </c>
      <c r="AF16" s="57"/>
      <c r="AG16" s="57"/>
      <c r="AH16" s="57"/>
      <c r="AI16" s="57"/>
      <c r="AJ16" s="57"/>
    </row>
    <row r="17" spans="1:36" ht="12.75" customHeight="1" x14ac:dyDescent="0.2">
      <c r="A17" s="55" t="s">
        <v>893</v>
      </c>
      <c r="B17" s="56" t="s">
        <v>962</v>
      </c>
      <c r="C17" s="77">
        <v>141639.26</v>
      </c>
      <c r="E17" s="77">
        <v>0</v>
      </c>
      <c r="G17" s="77">
        <v>0</v>
      </c>
      <c r="I17" s="77">
        <v>0</v>
      </c>
      <c r="K17" s="77">
        <v>0</v>
      </c>
      <c r="M17" s="77">
        <v>0</v>
      </c>
      <c r="O17" s="77">
        <v>0</v>
      </c>
      <c r="Q17" s="77">
        <f>SUM(M17,O17)</f>
        <v>0</v>
      </c>
      <c r="S17" s="77">
        <v>0</v>
      </c>
      <c r="U17" s="77">
        <v>0</v>
      </c>
      <c r="W17" s="77">
        <v>0</v>
      </c>
      <c r="Y17" s="77">
        <f>SUM(W17,-I17)</f>
        <v>0</v>
      </c>
      <c r="Z17" s="57"/>
      <c r="AA17" s="58" t="str">
        <f t="shared" si="0"/>
        <v>N/A</v>
      </c>
      <c r="AB17" s="57"/>
      <c r="AC17" s="77">
        <f>SUM(W17,-Q17)</f>
        <v>0</v>
      </c>
      <c r="AD17" s="57"/>
      <c r="AE17" s="58" t="str">
        <f t="shared" si="1"/>
        <v>N/A</v>
      </c>
      <c r="AF17" s="57"/>
      <c r="AG17" s="57"/>
      <c r="AH17" s="57"/>
      <c r="AI17" s="57"/>
      <c r="AJ17" s="57"/>
    </row>
    <row r="18" spans="1:36" ht="12.75" customHeight="1" x14ac:dyDescent="0.2">
      <c r="A18" s="59" t="s">
        <v>894</v>
      </c>
      <c r="B18" s="60" t="s">
        <v>963</v>
      </c>
      <c r="C18" s="79">
        <v>161512.31</v>
      </c>
      <c r="D18" s="80"/>
      <c r="E18" s="79">
        <v>0</v>
      </c>
      <c r="F18" s="80"/>
      <c r="G18" s="79">
        <v>0</v>
      </c>
      <c r="H18" s="79"/>
      <c r="I18" s="79">
        <v>0</v>
      </c>
      <c r="J18" s="79"/>
      <c r="K18" s="79">
        <v>0</v>
      </c>
      <c r="L18" s="79"/>
      <c r="M18" s="79">
        <v>0</v>
      </c>
      <c r="N18" s="79"/>
      <c r="O18" s="79">
        <v>0</v>
      </c>
      <c r="P18" s="79"/>
      <c r="Q18" s="79">
        <f>SUM(M18,O18)</f>
        <v>0</v>
      </c>
      <c r="R18" s="79"/>
      <c r="S18" s="79">
        <v>0</v>
      </c>
      <c r="T18" s="79"/>
      <c r="U18" s="79">
        <v>0</v>
      </c>
      <c r="V18" s="79"/>
      <c r="W18" s="79">
        <v>0</v>
      </c>
      <c r="X18" s="79"/>
      <c r="Y18" s="79">
        <f>SUM(W18,-I18)</f>
        <v>0</v>
      </c>
      <c r="Z18" s="62"/>
      <c r="AA18" s="63" t="str">
        <f t="shared" si="0"/>
        <v>N/A</v>
      </c>
      <c r="AB18" s="62"/>
      <c r="AC18" s="79">
        <f>SUM(W18,-Q18)</f>
        <v>0</v>
      </c>
      <c r="AD18" s="62"/>
      <c r="AE18" s="63" t="str">
        <f t="shared" si="1"/>
        <v>N/A</v>
      </c>
      <c r="AF18" s="57"/>
      <c r="AG18" s="57"/>
      <c r="AH18" s="57"/>
      <c r="AI18" s="57"/>
      <c r="AJ18" s="57"/>
    </row>
    <row r="19" spans="1:36" ht="12.75" customHeight="1" x14ac:dyDescent="0.2">
      <c r="A19" s="55" t="s">
        <v>895</v>
      </c>
      <c r="B19" s="56" t="s">
        <v>964</v>
      </c>
      <c r="C19" s="77">
        <v>4182.24</v>
      </c>
      <c r="E19" s="77">
        <v>0</v>
      </c>
      <c r="G19" s="77">
        <v>0</v>
      </c>
      <c r="I19" s="77">
        <v>0</v>
      </c>
      <c r="K19" s="77">
        <v>0</v>
      </c>
      <c r="M19" s="77">
        <v>0</v>
      </c>
      <c r="O19" s="77">
        <v>0</v>
      </c>
      <c r="Q19" s="77">
        <f>SUM(M19,O19)</f>
        <v>0</v>
      </c>
      <c r="S19" s="77">
        <v>0</v>
      </c>
      <c r="U19" s="77">
        <v>0</v>
      </c>
      <c r="W19" s="77">
        <v>0</v>
      </c>
      <c r="Y19" s="77">
        <f>SUM(W19,-I19)</f>
        <v>0</v>
      </c>
      <c r="Z19" s="57"/>
      <c r="AA19" s="58" t="str">
        <f t="shared" si="0"/>
        <v>N/A</v>
      </c>
      <c r="AB19" s="57"/>
      <c r="AC19" s="77">
        <f>SUM(W19,-Q19)</f>
        <v>0</v>
      </c>
      <c r="AD19" s="57"/>
      <c r="AE19" s="58" t="str">
        <f t="shared" si="1"/>
        <v>N/A</v>
      </c>
      <c r="AF19" s="57"/>
      <c r="AG19" s="57"/>
      <c r="AH19" s="57"/>
      <c r="AI19" s="57"/>
      <c r="AJ19" s="57"/>
    </row>
    <row r="20" spans="1:36" ht="12.75" customHeight="1" x14ac:dyDescent="0.2">
      <c r="A20" s="59" t="s">
        <v>896</v>
      </c>
      <c r="B20" s="60" t="s">
        <v>965</v>
      </c>
      <c r="C20" s="79">
        <v>1526352.86</v>
      </c>
      <c r="D20" s="80"/>
      <c r="E20" s="79">
        <v>0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v>0</v>
      </c>
      <c r="P20" s="79"/>
      <c r="Q20" s="79">
        <f>SUM(M20,O20)</f>
        <v>0</v>
      </c>
      <c r="R20" s="79"/>
      <c r="S20" s="79">
        <v>0</v>
      </c>
      <c r="T20" s="79"/>
      <c r="U20" s="79">
        <v>0</v>
      </c>
      <c r="V20" s="79"/>
      <c r="W20" s="79">
        <v>0</v>
      </c>
      <c r="X20" s="79"/>
      <c r="Y20" s="79">
        <f>SUM(W20,-I20)</f>
        <v>0</v>
      </c>
      <c r="Z20" s="62"/>
      <c r="AA20" s="63" t="str">
        <f t="shared" si="0"/>
        <v>N/A</v>
      </c>
      <c r="AB20" s="62"/>
      <c r="AC20" s="79">
        <f>SUM(W20,-Q20)</f>
        <v>0</v>
      </c>
      <c r="AD20" s="62"/>
      <c r="AE20" s="63" t="str">
        <f t="shared" si="1"/>
        <v>N/A</v>
      </c>
      <c r="AF20" s="57"/>
      <c r="AG20" s="57"/>
      <c r="AH20" s="57"/>
      <c r="AI20" s="57"/>
      <c r="AJ20" s="57"/>
    </row>
    <row r="21" spans="1:36" ht="12.75" customHeight="1" x14ac:dyDescent="0.2">
      <c r="A21" s="64" t="s">
        <v>70</v>
      </c>
      <c r="C21" s="81">
        <f>SUM(C16:C20)</f>
        <v>1909097.98</v>
      </c>
      <c r="E21" s="81">
        <f>SUM(E16:E20)</f>
        <v>0</v>
      </c>
      <c r="G21" s="81">
        <f>SUM(G16:G20)</f>
        <v>0</v>
      </c>
      <c r="I21" s="81">
        <f>SUM(I16:I20)</f>
        <v>0</v>
      </c>
      <c r="K21" s="81">
        <f>SUM(K16:K20)</f>
        <v>0</v>
      </c>
      <c r="M21" s="81">
        <f>SUM(M16:M20)</f>
        <v>0</v>
      </c>
      <c r="O21" s="81">
        <f>SUM(O16:O20)</f>
        <v>0</v>
      </c>
      <c r="Q21" s="81">
        <f>SUM(Q16:Q20)</f>
        <v>0</v>
      </c>
      <c r="S21" s="81">
        <f>SUM(S16:S20)</f>
        <v>0</v>
      </c>
      <c r="U21" s="81">
        <f>SUM(U16:U20)</f>
        <v>0</v>
      </c>
      <c r="W21" s="81">
        <f>SUM(W16:W20)</f>
        <v>0</v>
      </c>
      <c r="Y21" s="81">
        <f>SUM(Y16:Y20)</f>
        <v>0</v>
      </c>
      <c r="Z21" s="57"/>
      <c r="AA21" s="65" t="str">
        <f t="shared" si="0"/>
        <v>N/A</v>
      </c>
      <c r="AB21" s="57"/>
      <c r="AC21" s="81">
        <f>SUM(AC16:AC20)</f>
        <v>0</v>
      </c>
      <c r="AD21" s="57"/>
      <c r="AE21" s="65" t="str">
        <f t="shared" si="1"/>
        <v>N/A</v>
      </c>
      <c r="AF21" s="57"/>
      <c r="AG21" s="57"/>
      <c r="AH21" s="57"/>
      <c r="AI21" s="57"/>
      <c r="AJ21" s="57"/>
    </row>
    <row r="22" spans="1:36" ht="12.75" customHeight="1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ht="12.75" customHeight="1" thickBot="1" x14ac:dyDescent="0.25">
      <c r="A23" s="67" t="s">
        <v>899</v>
      </c>
      <c r="C23" s="83">
        <f>SUM(C21)</f>
        <v>1909097.98</v>
      </c>
      <c r="E23" s="83">
        <f>SUM(E21)</f>
        <v>0</v>
      </c>
      <c r="G23" s="83">
        <f>SUM(G21)</f>
        <v>0</v>
      </c>
      <c r="I23" s="83">
        <f>SUM(I21)</f>
        <v>0</v>
      </c>
      <c r="K23" s="83">
        <f>SUM(K21)</f>
        <v>0</v>
      </c>
      <c r="M23" s="82">
        <f>SUM(M21)</f>
        <v>0</v>
      </c>
      <c r="O23" s="82">
        <f>SUM(O21)</f>
        <v>0</v>
      </c>
      <c r="Q23" s="83">
        <f>SUM(Q21)</f>
        <v>0</v>
      </c>
      <c r="S23" s="82">
        <f>SUM(S21)</f>
        <v>0</v>
      </c>
      <c r="U23" s="82">
        <f>SUM(U21)</f>
        <v>0</v>
      </c>
      <c r="W23" s="83">
        <f>SUM(W21)</f>
        <v>0</v>
      </c>
      <c r="Y23" s="82">
        <f>SUM(Y21)</f>
        <v>0</v>
      </c>
      <c r="Z23" s="57"/>
      <c r="AA23" s="125" t="str">
        <f>IF(W23=0,"N/A",PRODUCT(Y23,1/I23))</f>
        <v>N/A</v>
      </c>
      <c r="AB23" s="57"/>
      <c r="AC23" s="82">
        <f>SUM(AC21)</f>
        <v>0</v>
      </c>
      <c r="AD23" s="57"/>
      <c r="AE23" s="125" t="str">
        <f>IF(W23=0,"N/A",PRODUCT(AC23,1/Q23))</f>
        <v>N/A</v>
      </c>
      <c r="AF23" s="57"/>
      <c r="AG23" s="57"/>
      <c r="AH23" s="57"/>
      <c r="AI23" s="57"/>
      <c r="AJ23" s="57"/>
    </row>
    <row r="24" spans="1:36" ht="12.75" customHeight="1" thickTop="1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ht="12.75" customHeight="1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ht="12.75" customHeight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A27" s="67" t="s">
        <v>786</v>
      </c>
      <c r="C27" s="88">
        <f>SUM(C10,-C23)</f>
        <v>-2075213.3599999999</v>
      </c>
      <c r="E27" s="88">
        <f>SUM(E10,-E23)</f>
        <v>0</v>
      </c>
      <c r="G27" s="88">
        <f>SUM(G10,-G23)</f>
        <v>0</v>
      </c>
      <c r="I27" s="88">
        <f>SUM(I10,-I23)</f>
        <v>0</v>
      </c>
      <c r="K27" s="88">
        <f>SUM(K10,-K23)</f>
        <v>0</v>
      </c>
      <c r="M27" s="88">
        <f>SUM(M10,-M23)</f>
        <v>0</v>
      </c>
      <c r="O27" s="88">
        <f>SUM(O10,-O23)</f>
        <v>0</v>
      </c>
      <c r="Q27" s="88">
        <f>SUM(Q10,-Q23)</f>
        <v>0</v>
      </c>
      <c r="S27" s="88">
        <f>SUM(S10,-S23)</f>
        <v>0</v>
      </c>
      <c r="U27" s="88">
        <f>SUM(U10,-U23)</f>
        <v>0</v>
      </c>
      <c r="W27" s="88">
        <f>SUM(W10,-W23)</f>
        <v>0</v>
      </c>
      <c r="Z27" s="57"/>
      <c r="AB27" s="57"/>
      <c r="AD27" s="57"/>
      <c r="AE27" s="65"/>
      <c r="AF27" s="57"/>
      <c r="AG27" s="57"/>
      <c r="AH27" s="57"/>
      <c r="AI27" s="57"/>
      <c r="AJ27" s="57"/>
    </row>
    <row r="28" spans="1:36" ht="12.75" customHeight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A29" s="70" t="s">
        <v>787</v>
      </c>
      <c r="C29" s="77">
        <v>0</v>
      </c>
      <c r="E29" s="77">
        <f>C33</f>
        <v>-2075213.3599999999</v>
      </c>
      <c r="G29" s="77">
        <f>E33</f>
        <v>-2075213.3599999999</v>
      </c>
      <c r="I29" s="77">
        <f>G33</f>
        <v>-2075213.3599999999</v>
      </c>
      <c r="K29" s="77">
        <f>G33</f>
        <v>-2075213.3599999999</v>
      </c>
      <c r="Q29" s="77">
        <f>G33</f>
        <v>-2075213.3599999999</v>
      </c>
      <c r="W29" s="77">
        <f>Q33</f>
        <v>-2075213.3599999999</v>
      </c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A31" s="70" t="s">
        <v>788</v>
      </c>
      <c r="C31" s="77">
        <v>0</v>
      </c>
      <c r="E31" s="77">
        <v>0</v>
      </c>
      <c r="G31" s="77">
        <v>0</v>
      </c>
      <c r="I31" s="77">
        <v>0</v>
      </c>
      <c r="K31" s="77">
        <v>0</v>
      </c>
      <c r="Q31" s="77">
        <v>0</v>
      </c>
      <c r="W31" s="77">
        <v>0</v>
      </c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thickBot="1" x14ac:dyDescent="0.25">
      <c r="A33" s="67" t="s">
        <v>789</v>
      </c>
      <c r="C33" s="83">
        <f>SUM(C27,C29,C31)</f>
        <v>-2075213.3599999999</v>
      </c>
      <c r="E33" s="83">
        <f>SUM(E27,E29,E31)</f>
        <v>-2075213.3599999999</v>
      </c>
      <c r="G33" s="83">
        <f>SUM(G27,G29,G31)</f>
        <v>-2075213.3599999999</v>
      </c>
      <c r="I33" s="83">
        <f>SUM(I27,I29,I31)</f>
        <v>-2075213.3599999999</v>
      </c>
      <c r="K33" s="83">
        <f>SUM(K27,K29,K31)</f>
        <v>-2075213.3599999999</v>
      </c>
      <c r="M33" s="88"/>
      <c r="O33" s="88"/>
      <c r="Q33" s="83">
        <f>SUM(Q27,Q29,Q31)</f>
        <v>-2075213.3599999999</v>
      </c>
      <c r="S33" s="88"/>
      <c r="U33" s="88"/>
      <c r="W33" s="83">
        <f>SUM(W27,W29,W31)</f>
        <v>-2075213.3599999999</v>
      </c>
      <c r="Z33" s="57"/>
      <c r="AB33" s="57"/>
      <c r="AD33" s="57"/>
      <c r="AE33" s="65"/>
      <c r="AF33" s="57"/>
      <c r="AG33" s="57"/>
      <c r="AH33" s="57"/>
      <c r="AI33" s="57"/>
      <c r="AJ33" s="57"/>
    </row>
    <row r="34" spans="1:36" ht="12.75" customHeight="1" thickTop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ht="12.75" customHeight="1" x14ac:dyDescent="0.2">
      <c r="Z37" s="57"/>
      <c r="AB37" s="57"/>
      <c r="AD37" s="57"/>
      <c r="AF37" s="57"/>
      <c r="AG37" s="57"/>
      <c r="AH37" s="57"/>
      <c r="AI37" s="57"/>
      <c r="AJ37" s="57"/>
    </row>
    <row r="38" spans="1:36" ht="12.75" customHeight="1" x14ac:dyDescent="0.2">
      <c r="Z38" s="57"/>
      <c r="AB38" s="57"/>
      <c r="AD38" s="57"/>
      <c r="AF38" s="57"/>
      <c r="AG38" s="57"/>
      <c r="AH38" s="57"/>
      <c r="AI38" s="57"/>
      <c r="AJ38" s="57"/>
    </row>
    <row r="39" spans="1:36" ht="12.75" customHeight="1" x14ac:dyDescent="0.2">
      <c r="Z39" s="57"/>
      <c r="AB39" s="57"/>
      <c r="AD39" s="57"/>
      <c r="AF39" s="57"/>
      <c r="AG39" s="57"/>
      <c r="AH39" s="57"/>
      <c r="AI39" s="57"/>
      <c r="AJ39" s="57"/>
    </row>
    <row r="40" spans="1:36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C934-475B-4E3E-8CE9-4EBC1BFBE214}">
  <sheetPr>
    <tabColor rgb="FF92D050"/>
  </sheetPr>
  <dimension ref="A1:AJ6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902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1326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9" t="s">
        <v>903</v>
      </c>
      <c r="B6" s="60" t="s">
        <v>1312</v>
      </c>
      <c r="C6" s="79">
        <v>0</v>
      </c>
      <c r="D6" s="80"/>
      <c r="E6" s="79">
        <v>7125.98</v>
      </c>
      <c r="F6" s="80"/>
      <c r="G6" s="79">
        <v>8345.9699999999993</v>
      </c>
      <c r="H6" s="79"/>
      <c r="I6" s="79">
        <v>6500</v>
      </c>
      <c r="J6" s="79"/>
      <c r="K6" s="79">
        <v>6500</v>
      </c>
      <c r="L6" s="79"/>
      <c r="M6" s="79">
        <v>8888.4</v>
      </c>
      <c r="N6" s="79"/>
      <c r="O6" s="79">
        <f>PRODUCT(M6,0/12)</f>
        <v>0</v>
      </c>
      <c r="P6" s="79"/>
      <c r="Q6" s="79">
        <f>SUM(M6,O6)</f>
        <v>8888.4</v>
      </c>
      <c r="R6" s="79"/>
      <c r="S6" s="79">
        <v>9500</v>
      </c>
      <c r="T6" s="79"/>
      <c r="U6" s="79">
        <v>9500</v>
      </c>
      <c r="V6" s="79"/>
      <c r="W6" s="79">
        <v>9500</v>
      </c>
      <c r="X6" s="79"/>
      <c r="Y6" s="79">
        <f>SUM(W6,-I6)</f>
        <v>3000</v>
      </c>
      <c r="Z6" s="62"/>
      <c r="AA6" s="63">
        <f>IF(W6=0,"N/A",PRODUCT(Y6,1/I6))</f>
        <v>0.46153846153846156</v>
      </c>
      <c r="AB6" s="62"/>
      <c r="AC6" s="79">
        <f>SUM(W6,-Q6)</f>
        <v>611.60000000000036</v>
      </c>
      <c r="AD6" s="62"/>
      <c r="AE6" s="63">
        <f>IF(W6=0,"N/A",PRODUCT(AC6,1/Q6))</f>
        <v>6.8808784483146618E-2</v>
      </c>
      <c r="AF6" s="57"/>
      <c r="AG6" s="57"/>
      <c r="AH6" s="57"/>
      <c r="AI6" s="57"/>
      <c r="AJ6" s="57"/>
    </row>
    <row r="7" spans="1:36" ht="12.75" customHeight="1" x14ac:dyDescent="0.2">
      <c r="A7" s="64" t="s">
        <v>1327</v>
      </c>
      <c r="C7" s="81">
        <f>SUM(C6:C6)</f>
        <v>0</v>
      </c>
      <c r="E7" s="81">
        <f>SUM(E6:E6)</f>
        <v>7125.98</v>
      </c>
      <c r="G7" s="81">
        <f>SUM(G6:G6)</f>
        <v>8345.9699999999993</v>
      </c>
      <c r="I7" s="81">
        <f>SUM(I6:I6)</f>
        <v>6500</v>
      </c>
      <c r="K7" s="81">
        <f>SUM(K6:K6)</f>
        <v>6500</v>
      </c>
      <c r="M7" s="81">
        <f>SUM(M6:M6)</f>
        <v>8888.4</v>
      </c>
      <c r="O7" s="81">
        <f>SUM(O6:O6)</f>
        <v>0</v>
      </c>
      <c r="Q7" s="81">
        <f>SUM(Q6:Q6)</f>
        <v>8888.4</v>
      </c>
      <c r="S7" s="81">
        <f>SUM(S6:S6)</f>
        <v>9500</v>
      </c>
      <c r="U7" s="81">
        <f>SUM(U6:U6)</f>
        <v>9500</v>
      </c>
      <c r="W7" s="81">
        <f>SUM(W6:W6)</f>
        <v>9500</v>
      </c>
      <c r="Y7" s="81">
        <f>SUM(Y6:Y6)</f>
        <v>3000</v>
      </c>
      <c r="Z7" s="57"/>
      <c r="AA7" s="65">
        <f>IF(W7=0,"N/A",PRODUCT(Y7,1/I7))</f>
        <v>0.46153846153846156</v>
      </c>
      <c r="AB7" s="57"/>
      <c r="AC7" s="81">
        <f>SUM(AC6:AC6)</f>
        <v>611.60000000000036</v>
      </c>
      <c r="AD7" s="57"/>
      <c r="AE7" s="65">
        <f>IF(W7=0,"N/A",PRODUCT(AC7,1/Q7))</f>
        <v>6.8808784483146618E-2</v>
      </c>
      <c r="AF7" s="57"/>
      <c r="AG7" s="57"/>
      <c r="AH7" s="57"/>
      <c r="AI7" s="57"/>
      <c r="AJ7" s="57"/>
    </row>
    <row r="8" spans="1:36" ht="12.75" customHeight="1" x14ac:dyDescent="0.2">
      <c r="Z8" s="57"/>
      <c r="AB8" s="57"/>
      <c r="AD8" s="57"/>
      <c r="AF8" s="57"/>
      <c r="AG8" s="57"/>
      <c r="AH8" s="57"/>
      <c r="AI8" s="57"/>
      <c r="AJ8" s="57"/>
    </row>
    <row r="9" spans="1:36" s="51" customFormat="1" ht="12.75" customHeight="1" x14ac:dyDescent="0.2">
      <c r="A9" s="54" t="s">
        <v>1346</v>
      </c>
      <c r="C9" s="106"/>
      <c r="D9" s="78"/>
      <c r="E9" s="106"/>
      <c r="F9" s="78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52"/>
      <c r="AA9" s="58"/>
      <c r="AB9" s="52"/>
      <c r="AC9" s="106"/>
      <c r="AD9" s="52"/>
      <c r="AE9" s="58"/>
      <c r="AF9" s="52"/>
      <c r="AG9" s="52"/>
      <c r="AH9" s="52"/>
      <c r="AI9" s="52"/>
      <c r="AJ9" s="52"/>
    </row>
    <row r="10" spans="1:36" ht="12.75" customHeight="1" x14ac:dyDescent="0.2">
      <c r="A10" s="59" t="s">
        <v>1348</v>
      </c>
      <c r="B10" s="60" t="s">
        <v>1142</v>
      </c>
      <c r="C10" s="79">
        <v>0</v>
      </c>
      <c r="D10" s="80"/>
      <c r="E10" s="79">
        <v>0</v>
      </c>
      <c r="F10" s="80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f>PRODUCT(M10,0/12)</f>
        <v>0</v>
      </c>
      <c r="P10" s="79"/>
      <c r="Q10" s="79">
        <f>SUM(M10,O10)</f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>SUM(W10,-I10)</f>
        <v>0</v>
      </c>
      <c r="Z10" s="62"/>
      <c r="AA10" s="63" t="str">
        <f>IF(W10=0,"N/A",PRODUCT(Y10,1/I10))</f>
        <v>N/A</v>
      </c>
      <c r="AB10" s="62"/>
      <c r="AC10" s="79">
        <f>SUM(W10,-Q10)</f>
        <v>0</v>
      </c>
      <c r="AD10" s="62"/>
      <c r="AE10" s="63" t="str">
        <f>IF(W10=0,"N/A",PRODUCT(AC10,1/Q10))</f>
        <v>N/A</v>
      </c>
      <c r="AF10" s="57"/>
      <c r="AG10" s="57"/>
      <c r="AH10" s="57"/>
      <c r="AI10" s="57"/>
      <c r="AJ10" s="57"/>
    </row>
    <row r="11" spans="1:36" ht="12.75" customHeight="1" x14ac:dyDescent="0.2">
      <c r="A11" s="64" t="s">
        <v>1347</v>
      </c>
      <c r="C11" s="81">
        <f>SUM(C10:C10)</f>
        <v>0</v>
      </c>
      <c r="E11" s="81">
        <f>SUM(E10:E10)</f>
        <v>0</v>
      </c>
      <c r="G11" s="81">
        <f>SUM(G10:G10)</f>
        <v>0</v>
      </c>
      <c r="I11" s="81">
        <f>SUM(I10:I10)</f>
        <v>0</v>
      </c>
      <c r="K11" s="81">
        <f>SUM(K10:K10)</f>
        <v>0</v>
      </c>
      <c r="M11" s="81">
        <f>SUM(M10:M10)</f>
        <v>0</v>
      </c>
      <c r="O11" s="81">
        <f>SUM(O10:O10)</f>
        <v>0</v>
      </c>
      <c r="Q11" s="81">
        <f>SUM(Q10:Q10)</f>
        <v>0</v>
      </c>
      <c r="S11" s="81">
        <f>SUM(S10:S10)</f>
        <v>0</v>
      </c>
      <c r="U11" s="81">
        <f>SUM(U10:U10)</f>
        <v>0</v>
      </c>
      <c r="W11" s="81">
        <f>SUM(W10:W10)</f>
        <v>0</v>
      </c>
      <c r="Y11" s="81">
        <f>SUM(Y10:Y10)</f>
        <v>0</v>
      </c>
      <c r="Z11" s="57"/>
      <c r="AA11" s="65" t="str">
        <f>IF(W11=0,"N/A",PRODUCT(Y11,1/I11))</f>
        <v>N/A</v>
      </c>
      <c r="AB11" s="57"/>
      <c r="AC11" s="81">
        <f>SUM(AC10:AC10)</f>
        <v>0</v>
      </c>
      <c r="AD11" s="57"/>
      <c r="AE11" s="65" t="str">
        <f>IF(W11=0,"N/A",PRODUCT(AC11,1/Q11))</f>
        <v>N/A</v>
      </c>
      <c r="AF11" s="57"/>
      <c r="AG11" s="57"/>
      <c r="AH11" s="57"/>
      <c r="AI11" s="57"/>
      <c r="AJ11" s="57"/>
    </row>
    <row r="12" spans="1:36" ht="12.75" customHeight="1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2.75" customHeight="1" thickBot="1" x14ac:dyDescent="0.25">
      <c r="A13" s="67" t="s">
        <v>906</v>
      </c>
      <c r="C13" s="83">
        <f>SUM(C7,C11)</f>
        <v>0</v>
      </c>
      <c r="E13" s="83">
        <f>SUM(E7,E11)</f>
        <v>7125.98</v>
      </c>
      <c r="G13" s="83">
        <f>SUM(G7,G11)</f>
        <v>8345.9699999999993</v>
      </c>
      <c r="I13" s="83">
        <f>SUM(I7,I11)</f>
        <v>6500</v>
      </c>
      <c r="K13" s="83">
        <f>SUM(K7,K11)</f>
        <v>6500</v>
      </c>
      <c r="M13" s="82">
        <f>SUM(M7,M11)</f>
        <v>8888.4</v>
      </c>
      <c r="O13" s="82">
        <f>SUM(O7,O11)</f>
        <v>0</v>
      </c>
      <c r="Q13" s="83">
        <f>SUM(Q7,Q11)</f>
        <v>8888.4</v>
      </c>
      <c r="S13" s="82">
        <f>SUM(S7,S11)</f>
        <v>9500</v>
      </c>
      <c r="U13" s="82">
        <f>SUM(U7,U11)</f>
        <v>9500</v>
      </c>
      <c r="W13" s="83">
        <f>SUM(W7,W11)</f>
        <v>9500</v>
      </c>
      <c r="Y13" s="82">
        <f>SUM(Y7,Y11)</f>
        <v>3000</v>
      </c>
      <c r="Z13" s="57"/>
      <c r="AA13" s="125">
        <f>IF(W13=0,"N/A",PRODUCT(Y13,1/I13))</f>
        <v>0.46153846153846156</v>
      </c>
      <c r="AB13" s="57"/>
      <c r="AC13" s="82">
        <f>SUM(AC7,AC11)</f>
        <v>611.60000000000036</v>
      </c>
      <c r="AD13" s="57"/>
      <c r="AE13" s="125">
        <f>IF(W13=0,"N/A",PRODUCT(AC13,1/Q13))</f>
        <v>6.8808784483146618E-2</v>
      </c>
      <c r="AF13" s="57"/>
      <c r="AG13" s="57"/>
      <c r="AH13" s="57"/>
      <c r="AI13" s="57"/>
      <c r="AJ13" s="57"/>
    </row>
    <row r="14" spans="1:36" ht="12.75" customHeight="1" thickTop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Z16" s="57"/>
      <c r="AB16" s="57"/>
      <c r="AD16" s="57"/>
      <c r="AF16" s="57"/>
      <c r="AG16" s="57"/>
      <c r="AH16" s="57"/>
      <c r="AI16" s="57"/>
      <c r="AJ16" s="57"/>
    </row>
    <row r="17" spans="1:36" ht="12.75" customHeight="1" x14ac:dyDescent="0.2">
      <c r="A17" s="67" t="s">
        <v>907</v>
      </c>
      <c r="Z17" s="57"/>
      <c r="AB17" s="57"/>
      <c r="AD17" s="57"/>
      <c r="AF17" s="57"/>
      <c r="AG17" s="57"/>
      <c r="AH17" s="57"/>
      <c r="AI17" s="57"/>
      <c r="AJ17" s="57"/>
    </row>
    <row r="18" spans="1:36" ht="12.75" customHeight="1" x14ac:dyDescent="0.2">
      <c r="A18" s="54" t="s">
        <v>69</v>
      </c>
      <c r="Z18" s="57"/>
      <c r="AB18" s="57"/>
      <c r="AD18" s="57"/>
      <c r="AF18" s="57"/>
      <c r="AG18" s="57"/>
      <c r="AH18" s="57"/>
      <c r="AI18" s="57"/>
      <c r="AJ18" s="57"/>
    </row>
    <row r="19" spans="1:36" ht="12.75" customHeight="1" x14ac:dyDescent="0.2">
      <c r="A19" s="55" t="s">
        <v>904</v>
      </c>
      <c r="B19" s="56" t="s">
        <v>1349</v>
      </c>
      <c r="C19" s="77">
        <v>0</v>
      </c>
      <c r="E19" s="77">
        <v>6000</v>
      </c>
      <c r="G19" s="77">
        <v>12500</v>
      </c>
      <c r="I19" s="77">
        <v>6000</v>
      </c>
      <c r="K19" s="77">
        <v>6000</v>
      </c>
      <c r="M19" s="77">
        <v>5488.36</v>
      </c>
      <c r="O19" s="77">
        <f>PRODUCT(M19,0/12)</f>
        <v>0</v>
      </c>
      <c r="Q19" s="77">
        <f>SUM(M19,O19)</f>
        <v>5488.36</v>
      </c>
      <c r="S19" s="77">
        <v>9500</v>
      </c>
      <c r="U19" s="77">
        <v>9500</v>
      </c>
      <c r="W19" s="77">
        <v>9500</v>
      </c>
      <c r="Y19" s="77">
        <f>SUM(W19,-I19)</f>
        <v>3500</v>
      </c>
      <c r="Z19" s="57"/>
      <c r="AA19" s="58">
        <f>IF(W19=0,"N/A",PRODUCT(Y19,1/I19))</f>
        <v>0.58333333333333326</v>
      </c>
      <c r="AB19" s="57"/>
      <c r="AC19" s="77">
        <f>SUM(W19,-Q19)</f>
        <v>4011.6400000000003</v>
      </c>
      <c r="AD19" s="57"/>
      <c r="AE19" s="58">
        <f>IF(W19=0,"N/A",PRODUCT(AC19,1/Q19))</f>
        <v>0.73093601731664837</v>
      </c>
      <c r="AF19" s="57"/>
      <c r="AG19" s="57"/>
      <c r="AH19" s="57"/>
      <c r="AI19" s="57"/>
      <c r="AJ19" s="57"/>
    </row>
    <row r="20" spans="1:36" ht="12.75" customHeight="1" x14ac:dyDescent="0.2">
      <c r="A20" s="59" t="s">
        <v>905</v>
      </c>
      <c r="B20" s="60" t="s">
        <v>811</v>
      </c>
      <c r="C20" s="79">
        <v>0</v>
      </c>
      <c r="D20" s="80"/>
      <c r="E20" s="79">
        <v>-29090.68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f>PRODUCT(M20,0/12)</f>
        <v>0</v>
      </c>
      <c r="P20" s="79"/>
      <c r="Q20" s="79">
        <f>SUM(M20,O20)</f>
        <v>0</v>
      </c>
      <c r="R20" s="79"/>
      <c r="S20" s="79">
        <v>0</v>
      </c>
      <c r="T20" s="79"/>
      <c r="U20" s="79">
        <v>0</v>
      </c>
      <c r="V20" s="79"/>
      <c r="W20" s="79"/>
      <c r="X20" s="79"/>
      <c r="Y20" s="79">
        <f>SUM(W20,-I20)</f>
        <v>0</v>
      </c>
      <c r="Z20" s="62"/>
      <c r="AA20" s="63" t="str">
        <f>IF(W20=0,"N/A",PRODUCT(Y20,1/I20))</f>
        <v>N/A</v>
      </c>
      <c r="AB20" s="62"/>
      <c r="AC20" s="79">
        <f>SUM(W20,-Q20)</f>
        <v>0</v>
      </c>
      <c r="AD20" s="62"/>
      <c r="AE20" s="63" t="str">
        <f>IF(W20=0,"N/A",PRODUCT(AC20,1/Q20))</f>
        <v>N/A</v>
      </c>
      <c r="AF20" s="57"/>
      <c r="AG20" s="57"/>
      <c r="AH20" s="57"/>
      <c r="AI20" s="57"/>
      <c r="AJ20" s="57"/>
    </row>
    <row r="21" spans="1:36" ht="12.75" customHeight="1" x14ac:dyDescent="0.2">
      <c r="A21" s="64" t="s">
        <v>70</v>
      </c>
      <c r="C21" s="81">
        <f>SUM(C19:C20)</f>
        <v>0</v>
      </c>
      <c r="E21" s="81">
        <f>SUM(E19:E20)</f>
        <v>-23090.68</v>
      </c>
      <c r="G21" s="81">
        <f>SUM(G19:G20)</f>
        <v>12500</v>
      </c>
      <c r="I21" s="81">
        <f>SUM(I19:I20)</f>
        <v>6000</v>
      </c>
      <c r="K21" s="81">
        <f>SUM(K19:K20)</f>
        <v>6000</v>
      </c>
      <c r="M21" s="81">
        <f>SUM(M19:M20)</f>
        <v>5488.36</v>
      </c>
      <c r="O21" s="81">
        <f>SUM(O19:O20)</f>
        <v>0</v>
      </c>
      <c r="Q21" s="81">
        <f>SUM(Q19:Q20)</f>
        <v>5488.36</v>
      </c>
      <c r="S21" s="81">
        <f>SUM(S19:S20)</f>
        <v>9500</v>
      </c>
      <c r="U21" s="81">
        <f>SUM(U19:U20)</f>
        <v>9500</v>
      </c>
      <c r="W21" s="81">
        <f>SUM(W19:W20)</f>
        <v>9500</v>
      </c>
      <c r="Y21" s="81">
        <f>SUM(Y19:Y20)</f>
        <v>3500</v>
      </c>
      <c r="Z21" s="57"/>
      <c r="AA21" s="65">
        <f>IF(W21=0,"N/A",PRODUCT(Y21,1/I21))</f>
        <v>0.58333333333333326</v>
      </c>
      <c r="AB21" s="57"/>
      <c r="AC21" s="81">
        <f>SUM(AC19:AC20)</f>
        <v>4011.6400000000003</v>
      </c>
      <c r="AD21" s="57"/>
      <c r="AE21" s="65">
        <f>IF(W21=0,"N/A",PRODUCT(AC21,1/Q21))</f>
        <v>0.73093601731664837</v>
      </c>
      <c r="AF21" s="57"/>
      <c r="AG21" s="57"/>
      <c r="AH21" s="57"/>
      <c r="AI21" s="57"/>
      <c r="AJ21" s="57"/>
    </row>
    <row r="22" spans="1:36" ht="12.75" customHeight="1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ht="12.75" customHeight="1" thickBot="1" x14ac:dyDescent="0.25">
      <c r="A23" s="67" t="s">
        <v>908</v>
      </c>
      <c r="C23" s="83">
        <f>SUM(C21)</f>
        <v>0</v>
      </c>
      <c r="E23" s="83">
        <f>SUM(E21)</f>
        <v>-23090.68</v>
      </c>
      <c r="G23" s="83">
        <f>SUM(G21)</f>
        <v>12500</v>
      </c>
      <c r="I23" s="83">
        <f>SUM(I21)</f>
        <v>6000</v>
      </c>
      <c r="K23" s="83">
        <f>SUM(K21)</f>
        <v>6000</v>
      </c>
      <c r="M23" s="82">
        <f>SUM(M21)</f>
        <v>5488.36</v>
      </c>
      <c r="O23" s="82">
        <f>SUM(O21)</f>
        <v>0</v>
      </c>
      <c r="Q23" s="83">
        <f>SUM(Q21)</f>
        <v>5488.36</v>
      </c>
      <c r="S23" s="82">
        <f>SUM(S21)</f>
        <v>9500</v>
      </c>
      <c r="U23" s="82">
        <f>SUM(U21)</f>
        <v>9500</v>
      </c>
      <c r="W23" s="83">
        <f>SUM(W21)</f>
        <v>9500</v>
      </c>
      <c r="Y23" s="82">
        <f>SUM(Y21)</f>
        <v>3500</v>
      </c>
      <c r="Z23" s="57"/>
      <c r="AA23" s="125">
        <f>IF(W23=0,"N/A",PRODUCT(Y23,1/I23))</f>
        <v>0.58333333333333326</v>
      </c>
      <c r="AB23" s="57"/>
      <c r="AC23" s="82">
        <f>SUM(AC21)</f>
        <v>4011.6400000000003</v>
      </c>
      <c r="AD23" s="57"/>
      <c r="AE23" s="125">
        <f>IF(W23=0,"N/A",PRODUCT(AC23,1/Q23))</f>
        <v>0.73093601731664837</v>
      </c>
      <c r="AF23" s="57"/>
      <c r="AG23" s="57"/>
      <c r="AH23" s="57"/>
      <c r="AI23" s="57"/>
      <c r="AJ23" s="57"/>
    </row>
    <row r="24" spans="1:36" ht="12.75" customHeight="1" thickTop="1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ht="12.75" customHeight="1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ht="12.75" customHeight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A27" s="67" t="s">
        <v>786</v>
      </c>
      <c r="C27" s="88">
        <f>SUM(C13,-C23)</f>
        <v>0</v>
      </c>
      <c r="E27" s="88">
        <f>SUM(E13,-E23)</f>
        <v>30216.66</v>
      </c>
      <c r="G27" s="88">
        <f>SUM(G13,-G23)</f>
        <v>-4154.0300000000007</v>
      </c>
      <c r="I27" s="88">
        <f>SUM(I13,-I23)</f>
        <v>500</v>
      </c>
      <c r="K27" s="88">
        <f>SUM(K13,-K23)</f>
        <v>500</v>
      </c>
      <c r="M27" s="88">
        <f>SUM(M13,-M23)</f>
        <v>3400.04</v>
      </c>
      <c r="O27" s="88">
        <f>SUM(O13,-O23)</f>
        <v>0</v>
      </c>
      <c r="Q27" s="88">
        <f>SUM(Q13,-Q23)</f>
        <v>3400.04</v>
      </c>
      <c r="S27" s="88">
        <f>SUM(S13,-S23)</f>
        <v>0</v>
      </c>
      <c r="U27" s="88">
        <f>SUM(U13,-U23)</f>
        <v>0</v>
      </c>
      <c r="W27" s="88">
        <f>SUM(W13,-W23)</f>
        <v>0</v>
      </c>
      <c r="Z27" s="57"/>
      <c r="AB27" s="57"/>
      <c r="AD27" s="57"/>
      <c r="AE27" s="65"/>
      <c r="AF27" s="57"/>
      <c r="AG27" s="57"/>
      <c r="AH27" s="57"/>
      <c r="AI27" s="57"/>
      <c r="AJ27" s="57"/>
    </row>
    <row r="28" spans="1:36" ht="12.75" customHeight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A29" s="70" t="s">
        <v>787</v>
      </c>
      <c r="C29" s="77">
        <v>0</v>
      </c>
      <c r="E29" s="77">
        <f>C33</f>
        <v>0</v>
      </c>
      <c r="G29" s="77">
        <f>E33</f>
        <v>30216.66</v>
      </c>
      <c r="I29" s="77">
        <f>G33</f>
        <v>26062.629999999997</v>
      </c>
      <c r="K29" s="77">
        <f>G33</f>
        <v>26062.629999999997</v>
      </c>
      <c r="Q29" s="77">
        <f>G33</f>
        <v>26062.629999999997</v>
      </c>
      <c r="W29" s="77">
        <f>Q33</f>
        <v>29462.67</v>
      </c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A31" s="70" t="s">
        <v>788</v>
      </c>
      <c r="C31" s="77">
        <f>-C10</f>
        <v>0</v>
      </c>
      <c r="E31" s="77">
        <f>-E10</f>
        <v>0</v>
      </c>
      <c r="G31" s="77">
        <f>-G10</f>
        <v>0</v>
      </c>
      <c r="I31" s="77">
        <f>-I10</f>
        <v>0</v>
      </c>
      <c r="K31" s="77">
        <f>-K10</f>
        <v>0</v>
      </c>
      <c r="Q31" s="77">
        <f>-Q10</f>
        <v>0</v>
      </c>
      <c r="W31" s="77">
        <f>-W10</f>
        <v>0</v>
      </c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thickBot="1" x14ac:dyDescent="0.25">
      <c r="A33" s="67" t="s">
        <v>789</v>
      </c>
      <c r="C33" s="83">
        <f>SUM(C27,C29,C31)</f>
        <v>0</v>
      </c>
      <c r="E33" s="83">
        <f>SUM(E27,E29,E31)</f>
        <v>30216.66</v>
      </c>
      <c r="G33" s="83">
        <f>SUM(G27,G29,G31)</f>
        <v>26062.629999999997</v>
      </c>
      <c r="I33" s="83">
        <f>SUM(I27,I29,I31)</f>
        <v>26562.629999999997</v>
      </c>
      <c r="K33" s="83">
        <f>SUM(K27,K29,K31)</f>
        <v>26562.629999999997</v>
      </c>
      <c r="M33" s="88"/>
      <c r="O33" s="88"/>
      <c r="Q33" s="83">
        <f>SUM(Q27,Q29,Q31)</f>
        <v>29462.67</v>
      </c>
      <c r="S33" s="88"/>
      <c r="U33" s="88"/>
      <c r="W33" s="83">
        <f>SUM(W27,W29,W31)</f>
        <v>29462.67</v>
      </c>
      <c r="Z33" s="57"/>
      <c r="AB33" s="57"/>
      <c r="AD33" s="57"/>
      <c r="AE33" s="65"/>
      <c r="AF33" s="57"/>
      <c r="AG33" s="57"/>
      <c r="AH33" s="57"/>
      <c r="AI33" s="57"/>
      <c r="AJ33" s="57"/>
    </row>
    <row r="34" spans="1:36" ht="12.75" customHeight="1" thickTop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ht="12.75" customHeight="1" x14ac:dyDescent="0.2">
      <c r="Z37" s="57"/>
      <c r="AB37" s="57"/>
      <c r="AD37" s="57"/>
      <c r="AF37" s="57"/>
      <c r="AG37" s="57"/>
      <c r="AH37" s="57"/>
      <c r="AI37" s="57"/>
      <c r="AJ37" s="57"/>
    </row>
    <row r="38" spans="1:36" ht="12.75" customHeight="1" x14ac:dyDescent="0.2">
      <c r="Z38" s="57"/>
      <c r="AB38" s="57"/>
      <c r="AD38" s="57"/>
      <c r="AF38" s="57"/>
      <c r="AG38" s="57"/>
      <c r="AH38" s="57"/>
      <c r="AI38" s="57"/>
      <c r="AJ38" s="57"/>
    </row>
    <row r="39" spans="1:36" ht="12.75" customHeight="1" x14ac:dyDescent="0.2">
      <c r="Z39" s="57"/>
      <c r="AB39" s="57"/>
      <c r="AD39" s="57"/>
      <c r="AF39" s="57"/>
      <c r="AG39" s="57"/>
      <c r="AH39" s="57"/>
      <c r="AI39" s="57"/>
      <c r="AJ39" s="57"/>
    </row>
    <row r="40" spans="1:36" ht="12.75" customHeight="1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ht="12.75" customHeight="1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ht="12.75" customHeight="1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999D-281C-4065-A5DD-E8A485CC68C0}">
  <sheetPr>
    <tabColor rgb="FF92D050"/>
  </sheetPr>
  <dimension ref="A1:AJ6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912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1326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9" t="s">
        <v>909</v>
      </c>
      <c r="B6" s="60" t="s">
        <v>1306</v>
      </c>
      <c r="C6" s="79">
        <v>0</v>
      </c>
      <c r="D6" s="80"/>
      <c r="E6" s="79">
        <v>951.71</v>
      </c>
      <c r="F6" s="80"/>
      <c r="G6" s="79">
        <v>1682.79</v>
      </c>
      <c r="H6" s="79"/>
      <c r="I6" s="79">
        <v>1000</v>
      </c>
      <c r="J6" s="79"/>
      <c r="K6" s="79">
        <v>1000</v>
      </c>
      <c r="L6" s="79"/>
      <c r="M6" s="79">
        <v>1878.33</v>
      </c>
      <c r="N6" s="79"/>
      <c r="O6" s="79">
        <f>PRODUCT(M6,0/12)</f>
        <v>0</v>
      </c>
      <c r="P6" s="79"/>
      <c r="Q6" s="79">
        <f>SUM(M6,O6)</f>
        <v>1878.33</v>
      </c>
      <c r="R6" s="79"/>
      <c r="S6" s="79">
        <v>1750</v>
      </c>
      <c r="T6" s="79"/>
      <c r="U6" s="79">
        <v>1750</v>
      </c>
      <c r="V6" s="79"/>
      <c r="W6" s="79">
        <v>1750</v>
      </c>
      <c r="X6" s="79"/>
      <c r="Y6" s="79">
        <f>SUM(W6,-I6)</f>
        <v>750</v>
      </c>
      <c r="Z6" s="62"/>
      <c r="AA6" s="63">
        <f>IF(W6=0,"N/A",PRODUCT(Y6,1/I6))</f>
        <v>0.75</v>
      </c>
      <c r="AB6" s="62"/>
      <c r="AC6" s="79">
        <f>SUM(W6,-Q6)</f>
        <v>-128.32999999999993</v>
      </c>
      <c r="AD6" s="62"/>
      <c r="AE6" s="63">
        <f>IF(W6=0,"N/A",PRODUCT(AC6,1/Q6))</f>
        <v>-6.8321327988159652E-2</v>
      </c>
      <c r="AF6" s="57"/>
      <c r="AG6" s="57"/>
      <c r="AH6" s="57"/>
      <c r="AI6" s="57"/>
      <c r="AJ6" s="57"/>
    </row>
    <row r="7" spans="1:36" ht="12.75" customHeight="1" x14ac:dyDescent="0.2">
      <c r="A7" s="64" t="s">
        <v>1327</v>
      </c>
      <c r="C7" s="81">
        <f>SUM(C6:C6)</f>
        <v>0</v>
      </c>
      <c r="E7" s="81">
        <f>SUM(E6:E6)</f>
        <v>951.71</v>
      </c>
      <c r="G7" s="81">
        <f>SUM(G6:G6)</f>
        <v>1682.79</v>
      </c>
      <c r="I7" s="81">
        <f>SUM(I6:I6)</f>
        <v>1000</v>
      </c>
      <c r="K7" s="81">
        <f>SUM(K6:K6)</f>
        <v>1000</v>
      </c>
      <c r="M7" s="81">
        <f>SUM(M6:M6)</f>
        <v>1878.33</v>
      </c>
      <c r="O7" s="81">
        <f>SUM(O6:O6)</f>
        <v>0</v>
      </c>
      <c r="Q7" s="81">
        <f>SUM(Q6:Q6)</f>
        <v>1878.33</v>
      </c>
      <c r="S7" s="81">
        <f>SUM(S6:S6)</f>
        <v>1750</v>
      </c>
      <c r="U7" s="81">
        <f>SUM(U6:U6)</f>
        <v>1750</v>
      </c>
      <c r="W7" s="81">
        <f>SUM(W6:W6)</f>
        <v>1750</v>
      </c>
      <c r="Y7" s="81">
        <f>SUM(Y6:Y6)</f>
        <v>750</v>
      </c>
      <c r="Z7" s="57"/>
      <c r="AA7" s="65">
        <f>IF(W7=0,"N/A",PRODUCT(Y7,1/I7))</f>
        <v>0.75</v>
      </c>
      <c r="AB7" s="57"/>
      <c r="AC7" s="81">
        <f>SUM(AC6:AC6)</f>
        <v>-128.32999999999993</v>
      </c>
      <c r="AD7" s="57"/>
      <c r="AE7" s="65">
        <f>IF(W7=0,"N/A",PRODUCT(AC7,1/Q7))</f>
        <v>-6.8321327988159652E-2</v>
      </c>
      <c r="AF7" s="57"/>
      <c r="AG7" s="57"/>
      <c r="AH7" s="57"/>
      <c r="AI7" s="57"/>
      <c r="AJ7" s="57"/>
    </row>
    <row r="8" spans="1:36" ht="12.75" customHeight="1" x14ac:dyDescent="0.2">
      <c r="Z8" s="57"/>
      <c r="AB8" s="57"/>
      <c r="AD8" s="57"/>
      <c r="AF8" s="57"/>
      <c r="AG8" s="57"/>
      <c r="AH8" s="57"/>
      <c r="AI8" s="57"/>
      <c r="AJ8" s="57"/>
    </row>
    <row r="9" spans="1:36" s="51" customFormat="1" ht="12.75" customHeight="1" x14ac:dyDescent="0.2">
      <c r="A9" s="54" t="s">
        <v>1346</v>
      </c>
      <c r="C9" s="106"/>
      <c r="D9" s="78"/>
      <c r="E9" s="106"/>
      <c r="F9" s="78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52"/>
      <c r="AA9" s="58"/>
      <c r="AB9" s="52"/>
      <c r="AC9" s="106"/>
      <c r="AD9" s="52"/>
      <c r="AE9" s="58"/>
      <c r="AF9" s="52"/>
      <c r="AG9" s="52"/>
      <c r="AH9" s="52"/>
      <c r="AI9" s="52"/>
      <c r="AJ9" s="52"/>
    </row>
    <row r="10" spans="1:36" ht="12.75" customHeight="1" x14ac:dyDescent="0.2">
      <c r="A10" s="59" t="s">
        <v>1351</v>
      </c>
      <c r="B10" s="60" t="s">
        <v>1142</v>
      </c>
      <c r="C10" s="79">
        <v>0</v>
      </c>
      <c r="D10" s="80"/>
      <c r="E10" s="79">
        <v>0</v>
      </c>
      <c r="F10" s="80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f>PRODUCT(M10,0/12)</f>
        <v>0</v>
      </c>
      <c r="P10" s="79"/>
      <c r="Q10" s="79">
        <f>SUM(M10,O10)</f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>SUM(W10,-I10)</f>
        <v>0</v>
      </c>
      <c r="Z10" s="62"/>
      <c r="AA10" s="63" t="str">
        <f>IF(W10=0,"N/A",PRODUCT(Y10,1/I10))</f>
        <v>N/A</v>
      </c>
      <c r="AB10" s="62"/>
      <c r="AC10" s="79">
        <f>SUM(W10,-Q10)</f>
        <v>0</v>
      </c>
      <c r="AD10" s="62"/>
      <c r="AE10" s="63" t="str">
        <f>IF(W10=0,"N/A",PRODUCT(AC10,1/Q10))</f>
        <v>N/A</v>
      </c>
      <c r="AF10" s="57"/>
      <c r="AG10" s="57"/>
      <c r="AH10" s="57"/>
      <c r="AI10" s="57"/>
      <c r="AJ10" s="57"/>
    </row>
    <row r="11" spans="1:36" ht="12.75" customHeight="1" x14ac:dyDescent="0.2">
      <c r="A11" s="64" t="s">
        <v>1347</v>
      </c>
      <c r="C11" s="81">
        <f>SUM(C10:C10)</f>
        <v>0</v>
      </c>
      <c r="E11" s="81">
        <f>SUM(E10:E10)</f>
        <v>0</v>
      </c>
      <c r="G11" s="81">
        <f>SUM(G10:G10)</f>
        <v>0</v>
      </c>
      <c r="I11" s="81">
        <f>SUM(I10:I10)</f>
        <v>0</v>
      </c>
      <c r="K11" s="81">
        <f>SUM(K10:K10)</f>
        <v>0</v>
      </c>
      <c r="M11" s="81">
        <f>SUM(M10:M10)</f>
        <v>0</v>
      </c>
      <c r="O11" s="81">
        <f>SUM(O10:O10)</f>
        <v>0</v>
      </c>
      <c r="Q11" s="81">
        <f>SUM(Q10:Q10)</f>
        <v>0</v>
      </c>
      <c r="S11" s="81">
        <f>SUM(S10:S10)</f>
        <v>0</v>
      </c>
      <c r="U11" s="81">
        <f>SUM(U10:U10)</f>
        <v>0</v>
      </c>
      <c r="W11" s="81">
        <f>SUM(W10:W10)</f>
        <v>0</v>
      </c>
      <c r="Y11" s="81">
        <f>SUM(Y10:Y10)</f>
        <v>0</v>
      </c>
      <c r="Z11" s="57"/>
      <c r="AA11" s="65" t="str">
        <f>IF(W11=0,"N/A",PRODUCT(Y11,1/I11))</f>
        <v>N/A</v>
      </c>
      <c r="AB11" s="57"/>
      <c r="AC11" s="81">
        <f>SUM(AC10:AC10)</f>
        <v>0</v>
      </c>
      <c r="AD11" s="57"/>
      <c r="AE11" s="65" t="str">
        <f>IF(W11=0,"N/A",PRODUCT(AC11,1/Q11))</f>
        <v>N/A</v>
      </c>
      <c r="AF11" s="57"/>
      <c r="AG11" s="57"/>
      <c r="AH11" s="57"/>
      <c r="AI11" s="57"/>
      <c r="AJ11" s="57"/>
    </row>
    <row r="12" spans="1:36" ht="12.75" customHeight="1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2.75" customHeight="1" thickBot="1" x14ac:dyDescent="0.25">
      <c r="A13" s="67" t="s">
        <v>913</v>
      </c>
      <c r="C13" s="83">
        <f>SUM(C7,C11)</f>
        <v>0</v>
      </c>
      <c r="E13" s="83">
        <f>SUM(E7,E11)</f>
        <v>951.71</v>
      </c>
      <c r="G13" s="83">
        <f>SUM(G7,G11)</f>
        <v>1682.79</v>
      </c>
      <c r="I13" s="83">
        <f>SUM(I7,I11)</f>
        <v>1000</v>
      </c>
      <c r="K13" s="83">
        <f>SUM(K7,K11)</f>
        <v>1000</v>
      </c>
      <c r="M13" s="82">
        <f>SUM(M7,M11)</f>
        <v>1878.33</v>
      </c>
      <c r="O13" s="82">
        <f>SUM(O7,O11)</f>
        <v>0</v>
      </c>
      <c r="Q13" s="83">
        <f>SUM(Q7,Q11)</f>
        <v>1878.33</v>
      </c>
      <c r="S13" s="82">
        <f>SUM(S7,S11)</f>
        <v>1750</v>
      </c>
      <c r="U13" s="82">
        <f>SUM(U7,U11)</f>
        <v>1750</v>
      </c>
      <c r="W13" s="83">
        <f>SUM(W7,W11)</f>
        <v>1750</v>
      </c>
      <c r="Y13" s="82">
        <f>SUM(Y7,Y11)</f>
        <v>750</v>
      </c>
      <c r="Z13" s="57"/>
      <c r="AA13" s="125">
        <f>IF(W13=0,"N/A",PRODUCT(Y13,1/I13))</f>
        <v>0.75</v>
      </c>
      <c r="AB13" s="57"/>
      <c r="AC13" s="82">
        <f>SUM(AC7,AC11)</f>
        <v>-128.32999999999993</v>
      </c>
      <c r="AD13" s="57"/>
      <c r="AE13" s="125">
        <f>IF(W13=0,"N/A",PRODUCT(AC13,1/Q13))</f>
        <v>-6.8321327988159652E-2</v>
      </c>
      <c r="AF13" s="57"/>
      <c r="AG13" s="57"/>
      <c r="AH13" s="57"/>
      <c r="AI13" s="57"/>
      <c r="AJ13" s="57"/>
    </row>
    <row r="14" spans="1:36" ht="12.75" customHeight="1" thickTop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Z16" s="57"/>
      <c r="AB16" s="57"/>
      <c r="AD16" s="57"/>
      <c r="AF16" s="57"/>
      <c r="AG16" s="57"/>
      <c r="AH16" s="57"/>
      <c r="AI16" s="57"/>
      <c r="AJ16" s="57"/>
    </row>
    <row r="17" spans="1:36" ht="12.75" customHeight="1" x14ac:dyDescent="0.2">
      <c r="A17" s="67" t="s">
        <v>914</v>
      </c>
      <c r="Z17" s="57"/>
      <c r="AB17" s="57"/>
      <c r="AD17" s="57"/>
      <c r="AF17" s="57"/>
      <c r="AG17" s="57"/>
      <c r="AH17" s="57"/>
      <c r="AI17" s="57"/>
      <c r="AJ17" s="57"/>
    </row>
    <row r="18" spans="1:36" ht="12.75" customHeight="1" x14ac:dyDescent="0.2">
      <c r="A18" s="54" t="s">
        <v>69</v>
      </c>
      <c r="Z18" s="57"/>
      <c r="AB18" s="57"/>
      <c r="AD18" s="57"/>
      <c r="AF18" s="57"/>
      <c r="AG18" s="57"/>
      <c r="AH18" s="57"/>
      <c r="AI18" s="57"/>
      <c r="AJ18" s="57"/>
    </row>
    <row r="19" spans="1:36" ht="12.75" customHeight="1" x14ac:dyDescent="0.2">
      <c r="A19" s="55" t="s">
        <v>910</v>
      </c>
      <c r="B19" s="56" t="s">
        <v>1350</v>
      </c>
      <c r="C19" s="77">
        <v>0</v>
      </c>
      <c r="E19" s="77">
        <v>0</v>
      </c>
      <c r="G19" s="77">
        <v>74.36</v>
      </c>
      <c r="I19" s="77">
        <v>1500</v>
      </c>
      <c r="K19" s="77">
        <v>1500</v>
      </c>
      <c r="M19" s="77">
        <v>954.35</v>
      </c>
      <c r="O19" s="77">
        <f>PRODUCT(M19,0/12)</f>
        <v>0</v>
      </c>
      <c r="Q19" s="77">
        <f>SUM(M19,O19)</f>
        <v>954.35</v>
      </c>
      <c r="S19" s="77">
        <v>1750</v>
      </c>
      <c r="U19" s="77">
        <v>1750</v>
      </c>
      <c r="W19" s="77">
        <v>1750</v>
      </c>
      <c r="Y19" s="77">
        <f>SUM(W19,-I19)</f>
        <v>250</v>
      </c>
      <c r="Z19" s="57"/>
      <c r="AA19" s="58">
        <f>IF(W19=0,"N/A",PRODUCT(Y19,1/I19))</f>
        <v>0.16666666666666666</v>
      </c>
      <c r="AB19" s="57"/>
      <c r="AC19" s="77">
        <f>SUM(W19,-Q19)</f>
        <v>795.65</v>
      </c>
      <c r="AD19" s="57"/>
      <c r="AE19" s="58">
        <f>IF(W19=0,"N/A",PRODUCT(AC19,1/Q19))</f>
        <v>0.83370880704144179</v>
      </c>
      <c r="AF19" s="57"/>
      <c r="AG19" s="57"/>
      <c r="AH19" s="57"/>
      <c r="AI19" s="57"/>
      <c r="AJ19" s="57"/>
    </row>
    <row r="20" spans="1:36" ht="12.75" customHeight="1" x14ac:dyDescent="0.2">
      <c r="A20" s="59" t="s">
        <v>911</v>
      </c>
      <c r="B20" s="60" t="s">
        <v>811</v>
      </c>
      <c r="C20" s="79">
        <v>0</v>
      </c>
      <c r="D20" s="80"/>
      <c r="E20" s="79">
        <v>-4639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f>PRODUCT(M20,0/12)</f>
        <v>0</v>
      </c>
      <c r="P20" s="79"/>
      <c r="Q20" s="79">
        <f>SUM(M20,O20)</f>
        <v>0</v>
      </c>
      <c r="R20" s="79"/>
      <c r="S20" s="79">
        <v>0</v>
      </c>
      <c r="T20" s="79"/>
      <c r="U20" s="79">
        <v>0</v>
      </c>
      <c r="V20" s="79"/>
      <c r="W20" s="79">
        <v>0</v>
      </c>
      <c r="X20" s="79"/>
      <c r="Y20" s="79">
        <f>SUM(W20,-I20)</f>
        <v>0</v>
      </c>
      <c r="Z20" s="62"/>
      <c r="AA20" s="63" t="str">
        <f>IF(W20=0,"N/A",PRODUCT(Y20,1/I20))</f>
        <v>N/A</v>
      </c>
      <c r="AB20" s="62"/>
      <c r="AC20" s="79">
        <f>SUM(W20,-Q20)</f>
        <v>0</v>
      </c>
      <c r="AD20" s="62"/>
      <c r="AE20" s="63" t="str">
        <f>IF(W20=0,"N/A",PRODUCT(AC20,1/Q20))</f>
        <v>N/A</v>
      </c>
      <c r="AF20" s="57"/>
      <c r="AG20" s="57"/>
      <c r="AH20" s="57"/>
      <c r="AI20" s="57"/>
      <c r="AJ20" s="57"/>
    </row>
    <row r="21" spans="1:36" ht="12.75" customHeight="1" x14ac:dyDescent="0.2">
      <c r="A21" s="64" t="s">
        <v>70</v>
      </c>
      <c r="C21" s="81">
        <f>SUM(C19:C20)</f>
        <v>0</v>
      </c>
      <c r="E21" s="81">
        <f>SUM(E19:E20)</f>
        <v>-4639</v>
      </c>
      <c r="G21" s="81">
        <f>SUM(G19:G20)</f>
        <v>74.36</v>
      </c>
      <c r="I21" s="81">
        <f>SUM(I19:I20)</f>
        <v>1500</v>
      </c>
      <c r="K21" s="81">
        <f>SUM(K19:K20)</f>
        <v>1500</v>
      </c>
      <c r="M21" s="81">
        <f>SUM(M19:M20)</f>
        <v>954.35</v>
      </c>
      <c r="O21" s="81">
        <f>SUM(O19:O20)</f>
        <v>0</v>
      </c>
      <c r="Q21" s="81">
        <f>SUM(Q19:Q20)</f>
        <v>954.35</v>
      </c>
      <c r="S21" s="81">
        <f>SUM(S19:S20)</f>
        <v>1750</v>
      </c>
      <c r="U21" s="81">
        <f>SUM(U19:U20)</f>
        <v>1750</v>
      </c>
      <c r="W21" s="81">
        <f>SUM(W19:W20)</f>
        <v>1750</v>
      </c>
      <c r="Y21" s="81">
        <f>SUM(Y19:Y20)</f>
        <v>250</v>
      </c>
      <c r="Z21" s="57"/>
      <c r="AA21" s="65">
        <f>IF(W21=0,"N/A",PRODUCT(Y21,1/I21))</f>
        <v>0.16666666666666666</v>
      </c>
      <c r="AB21" s="57"/>
      <c r="AC21" s="81">
        <f>SUM(AC19:AC20)</f>
        <v>795.65</v>
      </c>
      <c r="AD21" s="57"/>
      <c r="AE21" s="65">
        <f>IF(W21=0,"N/A",PRODUCT(AC21,1/Q21))</f>
        <v>0.83370880704144179</v>
      </c>
      <c r="AF21" s="57"/>
      <c r="AG21" s="57"/>
      <c r="AH21" s="57"/>
      <c r="AI21" s="57"/>
      <c r="AJ21" s="57"/>
    </row>
    <row r="22" spans="1:36" ht="12.75" customHeight="1" x14ac:dyDescent="0.2">
      <c r="Z22" s="57"/>
      <c r="AB22" s="57"/>
      <c r="AD22" s="57"/>
      <c r="AF22" s="57"/>
      <c r="AG22" s="57"/>
      <c r="AH22" s="57"/>
      <c r="AI22" s="57"/>
      <c r="AJ22" s="57"/>
    </row>
    <row r="23" spans="1:36" ht="12.75" customHeight="1" thickBot="1" x14ac:dyDescent="0.25">
      <c r="A23" s="67" t="s">
        <v>915</v>
      </c>
      <c r="C23" s="83">
        <f>SUM(C21)</f>
        <v>0</v>
      </c>
      <c r="E23" s="83">
        <f>SUM(E21)</f>
        <v>-4639</v>
      </c>
      <c r="G23" s="83">
        <f>SUM(G21)</f>
        <v>74.36</v>
      </c>
      <c r="I23" s="83">
        <f>SUM(I21)</f>
        <v>1500</v>
      </c>
      <c r="K23" s="83">
        <f>SUM(K21)</f>
        <v>1500</v>
      </c>
      <c r="M23" s="82">
        <f>SUM(M21)</f>
        <v>954.35</v>
      </c>
      <c r="O23" s="82">
        <f>SUM(O21)</f>
        <v>0</v>
      </c>
      <c r="Q23" s="83">
        <f>SUM(Q21)</f>
        <v>954.35</v>
      </c>
      <c r="S23" s="82">
        <f>SUM(S21)</f>
        <v>1750</v>
      </c>
      <c r="U23" s="82">
        <f>SUM(U21)</f>
        <v>1750</v>
      </c>
      <c r="W23" s="83">
        <f>SUM(W21)</f>
        <v>1750</v>
      </c>
      <c r="Y23" s="82">
        <f>SUM(Y21)</f>
        <v>250</v>
      </c>
      <c r="Z23" s="57"/>
      <c r="AA23" s="125">
        <f>IF(W23=0,"N/A",PRODUCT(Y23,1/I23))</f>
        <v>0.16666666666666666</v>
      </c>
      <c r="AB23" s="57"/>
      <c r="AC23" s="82">
        <f>SUM(AC21)</f>
        <v>795.65</v>
      </c>
      <c r="AD23" s="57"/>
      <c r="AE23" s="125">
        <f>IF(W23=0,"N/A",PRODUCT(AC23,1/Q23))</f>
        <v>0.83370880704144179</v>
      </c>
      <c r="AF23" s="57"/>
      <c r="AG23" s="57"/>
      <c r="AH23" s="57"/>
      <c r="AI23" s="57"/>
      <c r="AJ23" s="57"/>
    </row>
    <row r="24" spans="1:36" ht="12.75" customHeight="1" thickTop="1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ht="12.75" customHeight="1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ht="12.75" customHeight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A27" s="67" t="s">
        <v>786</v>
      </c>
      <c r="C27" s="88">
        <f>SUM(C13,-C23)</f>
        <v>0</v>
      </c>
      <c r="E27" s="88">
        <f>SUM(E13,-E23)</f>
        <v>5590.71</v>
      </c>
      <c r="G27" s="88">
        <f>SUM(G13,-G23)</f>
        <v>1608.43</v>
      </c>
      <c r="I27" s="88">
        <f>SUM(I13,-I23)</f>
        <v>-500</v>
      </c>
      <c r="K27" s="88">
        <f>SUM(K13,-K23)</f>
        <v>-500</v>
      </c>
      <c r="M27" s="88">
        <f>SUM(M13,-M23)</f>
        <v>923.9799999999999</v>
      </c>
      <c r="O27" s="88">
        <f>SUM(O13,-O23)</f>
        <v>0</v>
      </c>
      <c r="Q27" s="88">
        <f>SUM(Q13,-Q23)</f>
        <v>923.9799999999999</v>
      </c>
      <c r="S27" s="88">
        <f>SUM(S13,-S23)</f>
        <v>0</v>
      </c>
      <c r="U27" s="88">
        <f>SUM(U13,-U23)</f>
        <v>0</v>
      </c>
      <c r="W27" s="88">
        <f>SUM(W13,-W23)</f>
        <v>0</v>
      </c>
      <c r="Z27" s="57"/>
      <c r="AB27" s="57"/>
      <c r="AD27" s="57"/>
      <c r="AE27" s="65"/>
      <c r="AF27" s="57"/>
      <c r="AG27" s="57"/>
      <c r="AH27" s="57"/>
      <c r="AI27" s="57"/>
      <c r="AJ27" s="57"/>
    </row>
    <row r="28" spans="1:36" ht="12.75" customHeight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A29" s="70" t="s">
        <v>787</v>
      </c>
      <c r="C29" s="77">
        <v>0</v>
      </c>
      <c r="E29" s="77">
        <f>C33</f>
        <v>0</v>
      </c>
      <c r="G29" s="77">
        <f>E33</f>
        <v>5590.71</v>
      </c>
      <c r="I29" s="77">
        <f>G33</f>
        <v>7199.14</v>
      </c>
      <c r="K29" s="77">
        <f>G33</f>
        <v>7199.14</v>
      </c>
      <c r="Q29" s="77">
        <f>G33</f>
        <v>7199.14</v>
      </c>
      <c r="W29" s="77">
        <f>Q33</f>
        <v>8123.12</v>
      </c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A31" s="70" t="s">
        <v>788</v>
      </c>
      <c r="C31" s="77">
        <f>-C10</f>
        <v>0</v>
      </c>
      <c r="E31" s="77">
        <f>-E10</f>
        <v>0</v>
      </c>
      <c r="G31" s="77">
        <f>-G10</f>
        <v>0</v>
      </c>
      <c r="I31" s="77">
        <f>-I10</f>
        <v>0</v>
      </c>
      <c r="K31" s="77">
        <f>-K10</f>
        <v>0</v>
      </c>
      <c r="Q31" s="77">
        <f>-Q10</f>
        <v>0</v>
      </c>
      <c r="W31" s="77">
        <f>-W10</f>
        <v>0</v>
      </c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thickBot="1" x14ac:dyDescent="0.25">
      <c r="A33" s="67" t="s">
        <v>789</v>
      </c>
      <c r="C33" s="83">
        <f>SUM(C27,C29,C31)</f>
        <v>0</v>
      </c>
      <c r="E33" s="83">
        <f>SUM(E27,E29,E31)</f>
        <v>5590.71</v>
      </c>
      <c r="G33" s="83">
        <f>SUM(G27,G29,G31)</f>
        <v>7199.14</v>
      </c>
      <c r="I33" s="83">
        <f>SUM(I27,I29,I31)</f>
        <v>6699.14</v>
      </c>
      <c r="K33" s="83">
        <f>SUM(K27,K29,K31)</f>
        <v>6699.14</v>
      </c>
      <c r="M33" s="88"/>
      <c r="O33" s="88"/>
      <c r="Q33" s="83">
        <f>SUM(Q27,Q29,Q31)</f>
        <v>8123.12</v>
      </c>
      <c r="S33" s="88"/>
      <c r="U33" s="88"/>
      <c r="W33" s="83">
        <f>SUM(W27,W29,W31)</f>
        <v>8123.12</v>
      </c>
      <c r="Z33" s="57"/>
      <c r="AB33" s="57"/>
      <c r="AD33" s="57"/>
      <c r="AE33" s="65"/>
      <c r="AF33" s="57"/>
      <c r="AG33" s="57"/>
      <c r="AH33" s="57"/>
      <c r="AI33" s="57"/>
      <c r="AJ33" s="57"/>
    </row>
    <row r="34" spans="1:36" ht="12.75" customHeight="1" thickTop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ht="12.75" customHeight="1" x14ac:dyDescent="0.2">
      <c r="Z37" s="57"/>
      <c r="AB37" s="57"/>
      <c r="AD37" s="57"/>
      <c r="AF37" s="57"/>
      <c r="AG37" s="57"/>
      <c r="AH37" s="57"/>
      <c r="AI37" s="57"/>
      <c r="AJ37" s="57"/>
    </row>
    <row r="38" spans="1:36" ht="12.75" customHeight="1" x14ac:dyDescent="0.2">
      <c r="Z38" s="57"/>
      <c r="AB38" s="57"/>
      <c r="AD38" s="57"/>
      <c r="AF38" s="57"/>
      <c r="AG38" s="57"/>
      <c r="AH38" s="57"/>
      <c r="AI38" s="57"/>
      <c r="AJ38" s="57"/>
    </row>
    <row r="39" spans="1:36" ht="12.75" customHeight="1" x14ac:dyDescent="0.2">
      <c r="Z39" s="57"/>
      <c r="AB39" s="57"/>
      <c r="AD39" s="57"/>
      <c r="AF39" s="57"/>
      <c r="AG39" s="57"/>
      <c r="AH39" s="57"/>
      <c r="AI39" s="57"/>
      <c r="AJ39" s="57"/>
    </row>
    <row r="40" spans="1:36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0662-51F1-4DDB-A7A7-6DAF5FDFD8F1}">
  <sheetPr>
    <tabColor rgb="FF92D050"/>
  </sheetPr>
  <dimension ref="A1:AJ67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A1" s="67"/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ht="12.75" customHeight="1" x14ac:dyDescent="0.2">
      <c r="A2" s="67"/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A3" s="67"/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67" t="s">
        <v>1321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1326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76"/>
      <c r="AB5" s="52"/>
      <c r="AC5" s="106"/>
      <c r="AD5" s="52"/>
      <c r="AE5" s="76"/>
      <c r="AF5" s="52"/>
      <c r="AG5" s="52"/>
      <c r="AH5" s="52"/>
      <c r="AI5" s="52"/>
      <c r="AJ5" s="52"/>
    </row>
    <row r="6" spans="1:36" ht="12.75" customHeight="1" x14ac:dyDescent="0.2">
      <c r="A6" s="59" t="s">
        <v>916</v>
      </c>
      <c r="B6" s="60" t="s">
        <v>1311</v>
      </c>
      <c r="C6" s="79">
        <v>0</v>
      </c>
      <c r="D6" s="80"/>
      <c r="E6" s="79">
        <v>1046.3499999999999</v>
      </c>
      <c r="F6" s="80"/>
      <c r="G6" s="79">
        <v>2042.75</v>
      </c>
      <c r="H6" s="79"/>
      <c r="I6" s="79">
        <v>1000</v>
      </c>
      <c r="J6" s="79"/>
      <c r="K6" s="79">
        <v>1000</v>
      </c>
      <c r="L6" s="79"/>
      <c r="M6" s="79">
        <v>2261.7399999999998</v>
      </c>
      <c r="N6" s="79"/>
      <c r="O6" s="79">
        <f>PRODUCT(M6,0/12)</f>
        <v>0</v>
      </c>
      <c r="P6" s="79"/>
      <c r="Q6" s="79">
        <f>SUM(M6,O6)</f>
        <v>2261.7399999999998</v>
      </c>
      <c r="R6" s="79"/>
      <c r="S6" s="79">
        <v>1500</v>
      </c>
      <c r="T6" s="79"/>
      <c r="U6" s="79">
        <v>1500</v>
      </c>
      <c r="V6" s="79"/>
      <c r="W6" s="79">
        <v>1500</v>
      </c>
      <c r="X6" s="79"/>
      <c r="Y6" s="79">
        <f>SUM(W6,-I6)</f>
        <v>500</v>
      </c>
      <c r="Z6" s="62"/>
      <c r="AA6" s="63">
        <f>IF(W6=0,"N/A",PRODUCT(Y6,1/I6))</f>
        <v>0.5</v>
      </c>
      <c r="AB6" s="62"/>
      <c r="AC6" s="79">
        <f>SUM(W6,-Q6)</f>
        <v>-761.73999999999978</v>
      </c>
      <c r="AD6" s="62"/>
      <c r="AE6" s="63">
        <f>IF(W6=0,"N/A",PRODUCT(AC6,1/Q6))</f>
        <v>-0.33679379592702957</v>
      </c>
      <c r="AF6" s="57"/>
      <c r="AG6" s="57"/>
      <c r="AH6" s="57"/>
      <c r="AI6" s="57"/>
      <c r="AJ6" s="57"/>
    </row>
    <row r="7" spans="1:36" ht="12.75" customHeight="1" x14ac:dyDescent="0.2">
      <c r="A7" s="64" t="s">
        <v>1327</v>
      </c>
      <c r="C7" s="81">
        <f>SUM(C6:C6)</f>
        <v>0</v>
      </c>
      <c r="E7" s="81">
        <f>SUM(E6:E6)</f>
        <v>1046.3499999999999</v>
      </c>
      <c r="G7" s="81">
        <f>SUM(G6:G6)</f>
        <v>2042.75</v>
      </c>
      <c r="I7" s="81">
        <f>SUM(I6:I6)</f>
        <v>1000</v>
      </c>
      <c r="K7" s="81">
        <f>SUM(K6:K6)</f>
        <v>1000</v>
      </c>
      <c r="M7" s="81">
        <f>SUM(M6:M6)</f>
        <v>2261.7399999999998</v>
      </c>
      <c r="O7" s="81">
        <f>SUM(O6:O6)</f>
        <v>0</v>
      </c>
      <c r="Q7" s="81">
        <f>SUM(Q6:Q6)</f>
        <v>2261.7399999999998</v>
      </c>
      <c r="S7" s="81">
        <f>SUM(S6:S6)</f>
        <v>1500</v>
      </c>
      <c r="U7" s="81">
        <f>SUM(U6:U6)</f>
        <v>1500</v>
      </c>
      <c r="W7" s="81">
        <f>SUM(W6:W6)</f>
        <v>1500</v>
      </c>
      <c r="Y7" s="81">
        <f>SUM(Y6:Y6)</f>
        <v>500</v>
      </c>
      <c r="Z7" s="57"/>
      <c r="AA7" s="65">
        <f>IF(W7=0,"N/A",PRODUCT(Y7,1/I7))</f>
        <v>0.5</v>
      </c>
      <c r="AB7" s="57"/>
      <c r="AC7" s="81">
        <f>SUM(AC6:AC6)</f>
        <v>-761.73999999999978</v>
      </c>
      <c r="AD7" s="57"/>
      <c r="AE7" s="65">
        <f>IF(W7=0,"N/A",PRODUCT(AC7,1/Q7))</f>
        <v>-0.33679379592702957</v>
      </c>
      <c r="AF7" s="57"/>
      <c r="AG7" s="57"/>
      <c r="AH7" s="57"/>
      <c r="AI7" s="57"/>
      <c r="AJ7" s="57"/>
    </row>
    <row r="8" spans="1:36" ht="12.75" customHeight="1" x14ac:dyDescent="0.2">
      <c r="Z8" s="57"/>
      <c r="AA8" s="58"/>
      <c r="AB8" s="57"/>
      <c r="AD8" s="57"/>
      <c r="AE8" s="58"/>
      <c r="AF8" s="57"/>
      <c r="AG8" s="57"/>
      <c r="AH8" s="57"/>
      <c r="AI8" s="57"/>
      <c r="AJ8" s="57"/>
    </row>
    <row r="9" spans="1:36" s="51" customFormat="1" ht="12.75" customHeight="1" x14ac:dyDescent="0.2">
      <c r="A9" s="54" t="s">
        <v>1346</v>
      </c>
      <c r="C9" s="106"/>
      <c r="D9" s="78"/>
      <c r="E9" s="106"/>
      <c r="F9" s="78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52"/>
      <c r="AA9" s="76"/>
      <c r="AB9" s="52"/>
      <c r="AC9" s="106"/>
      <c r="AD9" s="52"/>
      <c r="AE9" s="76"/>
      <c r="AF9" s="52"/>
      <c r="AG9" s="52"/>
      <c r="AH9" s="52"/>
      <c r="AI9" s="52"/>
      <c r="AJ9" s="52"/>
    </row>
    <row r="10" spans="1:36" ht="12.75" customHeight="1" x14ac:dyDescent="0.2">
      <c r="A10" s="59" t="s">
        <v>1352</v>
      </c>
      <c r="B10" s="60" t="s">
        <v>1142</v>
      </c>
      <c r="C10" s="79">
        <v>0</v>
      </c>
      <c r="D10" s="80"/>
      <c r="E10" s="79">
        <v>0</v>
      </c>
      <c r="F10" s="80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f>PRODUCT(M10,0/12)</f>
        <v>0</v>
      </c>
      <c r="P10" s="79"/>
      <c r="Q10" s="79">
        <f>SUM(M10,O10)</f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>SUM(W10,-I10)</f>
        <v>0</v>
      </c>
      <c r="Z10" s="62"/>
      <c r="AA10" s="63" t="str">
        <f>IF(W10=0,"N/A",PRODUCT(Y10,1/I10))</f>
        <v>N/A</v>
      </c>
      <c r="AB10" s="62"/>
      <c r="AC10" s="79">
        <f>SUM(W10,-Q10)</f>
        <v>0</v>
      </c>
      <c r="AD10" s="62"/>
      <c r="AE10" s="63" t="str">
        <f>IF(W10=0,"N/A",PRODUCT(AC10,1/Q10))</f>
        <v>N/A</v>
      </c>
      <c r="AF10" s="57"/>
      <c r="AG10" s="57"/>
      <c r="AH10" s="57"/>
      <c r="AI10" s="57"/>
      <c r="AJ10" s="57"/>
    </row>
    <row r="11" spans="1:36" ht="12.75" customHeight="1" x14ac:dyDescent="0.2">
      <c r="A11" s="64" t="s">
        <v>1347</v>
      </c>
      <c r="C11" s="81">
        <f>SUM(C10:C10)</f>
        <v>0</v>
      </c>
      <c r="E11" s="81">
        <f>SUM(E10:E10)</f>
        <v>0</v>
      </c>
      <c r="G11" s="81">
        <f>SUM(G10:G10)</f>
        <v>0</v>
      </c>
      <c r="I11" s="81">
        <f>SUM(I10:I10)</f>
        <v>0</v>
      </c>
      <c r="K11" s="81">
        <f>SUM(K10:K10)</f>
        <v>0</v>
      </c>
      <c r="M11" s="81">
        <f>SUM(M10:M10)</f>
        <v>0</v>
      </c>
      <c r="O11" s="81">
        <f>SUM(O10:O10)</f>
        <v>0</v>
      </c>
      <c r="Q11" s="81">
        <f>SUM(Q10:Q10)</f>
        <v>0</v>
      </c>
      <c r="S11" s="81">
        <f>SUM(S10:S10)</f>
        <v>0</v>
      </c>
      <c r="U11" s="81">
        <f>SUM(U10:U10)</f>
        <v>0</v>
      </c>
      <c r="W11" s="81">
        <f>SUM(W10:W10)</f>
        <v>0</v>
      </c>
      <c r="Y11" s="81">
        <f>SUM(Y10:Y10)</f>
        <v>0</v>
      </c>
      <c r="Z11" s="57"/>
      <c r="AA11" s="65" t="str">
        <f>IF(W11=0,"N/A",PRODUCT(Y11,1/I11))</f>
        <v>N/A</v>
      </c>
      <c r="AB11" s="57"/>
      <c r="AC11" s="81">
        <f>SUM(AC10:AC10)</f>
        <v>0</v>
      </c>
      <c r="AD11" s="57"/>
      <c r="AE11" s="65" t="str">
        <f>IF(W11=0,"N/A",PRODUCT(AC11,1/Q11))</f>
        <v>N/A</v>
      </c>
      <c r="AF11" s="57"/>
      <c r="AG11" s="57"/>
      <c r="AH11" s="57"/>
      <c r="AI11" s="57"/>
      <c r="AJ11" s="57"/>
    </row>
    <row r="12" spans="1:36" ht="12.75" customHeight="1" x14ac:dyDescent="0.2">
      <c r="Z12" s="57"/>
      <c r="AA12" s="58"/>
      <c r="AB12" s="57"/>
      <c r="AD12" s="57"/>
      <c r="AE12" s="58"/>
      <c r="AF12" s="57"/>
      <c r="AG12" s="57"/>
      <c r="AH12" s="57"/>
      <c r="AI12" s="57"/>
      <c r="AJ12" s="57"/>
    </row>
    <row r="13" spans="1:36" ht="12.75" customHeight="1" thickBot="1" x14ac:dyDescent="0.25">
      <c r="A13" s="67" t="s">
        <v>1322</v>
      </c>
      <c r="C13" s="83">
        <f>SUM(C7,C11)</f>
        <v>0</v>
      </c>
      <c r="E13" s="83">
        <f>SUM(E7,E11)</f>
        <v>1046.3499999999999</v>
      </c>
      <c r="G13" s="83">
        <f>SUM(G7,G11)</f>
        <v>2042.75</v>
      </c>
      <c r="I13" s="83">
        <f>SUM(I7,I11)</f>
        <v>1000</v>
      </c>
      <c r="K13" s="83">
        <f>SUM(K7,K11)</f>
        <v>1000</v>
      </c>
      <c r="M13" s="82">
        <f>SUM(M7,M11)</f>
        <v>2261.7399999999998</v>
      </c>
      <c r="O13" s="82">
        <f>SUM(O7,O11)</f>
        <v>0</v>
      </c>
      <c r="Q13" s="83">
        <f>SUM(Q7,Q11)</f>
        <v>2261.7399999999998</v>
      </c>
      <c r="S13" s="82">
        <f>SUM(S7,S11)</f>
        <v>1500</v>
      </c>
      <c r="U13" s="82">
        <f>SUM(U7,U11)</f>
        <v>1500</v>
      </c>
      <c r="W13" s="83">
        <f>SUM(W7,W11)</f>
        <v>1500</v>
      </c>
      <c r="Y13" s="82">
        <f>SUM(Y7,Y11)</f>
        <v>500</v>
      </c>
      <c r="Z13" s="57"/>
      <c r="AA13" s="125">
        <f>IF(W13=0,"N/A",PRODUCT(Y13,1/I13))</f>
        <v>0.5</v>
      </c>
      <c r="AB13" s="57"/>
      <c r="AC13" s="82">
        <f>SUM(AC7,AC11)</f>
        <v>-761.73999999999978</v>
      </c>
      <c r="AD13" s="57"/>
      <c r="AE13" s="125">
        <f>IF(W13=0,"N/A",PRODUCT(AC13,1/Q13))</f>
        <v>-0.33679379592702957</v>
      </c>
      <c r="AF13" s="57"/>
      <c r="AG13" s="57"/>
      <c r="AH13" s="57"/>
      <c r="AI13" s="57"/>
      <c r="AJ13" s="57"/>
    </row>
    <row r="14" spans="1:36" ht="12.75" customHeight="1" thickTop="1" x14ac:dyDescent="0.2">
      <c r="Z14" s="57"/>
      <c r="AA14" s="58"/>
      <c r="AB14" s="57"/>
      <c r="AD14" s="57"/>
      <c r="AE14" s="58"/>
      <c r="AF14" s="57"/>
      <c r="AG14" s="57"/>
      <c r="AH14" s="57"/>
      <c r="AI14" s="57"/>
      <c r="AJ14" s="57"/>
    </row>
    <row r="15" spans="1:36" ht="12.75" customHeight="1" x14ac:dyDescent="0.2">
      <c r="Z15" s="57"/>
      <c r="AA15" s="58"/>
      <c r="AB15" s="57"/>
      <c r="AD15" s="57"/>
      <c r="AE15" s="58"/>
      <c r="AF15" s="57"/>
      <c r="AG15" s="57"/>
      <c r="AH15" s="57"/>
      <c r="AI15" s="57"/>
      <c r="AJ15" s="57"/>
    </row>
    <row r="16" spans="1:36" ht="12.75" customHeight="1" x14ac:dyDescent="0.2">
      <c r="Z16" s="57"/>
      <c r="AA16" s="58"/>
      <c r="AB16" s="57"/>
      <c r="AD16" s="57"/>
      <c r="AE16" s="58"/>
      <c r="AF16" s="57"/>
      <c r="AG16" s="57"/>
      <c r="AH16" s="57"/>
      <c r="AI16" s="57"/>
      <c r="AJ16" s="57"/>
    </row>
    <row r="17" spans="1:36" ht="12.75" customHeight="1" x14ac:dyDescent="0.2">
      <c r="A17" s="67" t="s">
        <v>1323</v>
      </c>
      <c r="Z17" s="57"/>
      <c r="AA17" s="58"/>
      <c r="AB17" s="57"/>
      <c r="AD17" s="57"/>
      <c r="AE17" s="58"/>
      <c r="AF17" s="57"/>
      <c r="AG17" s="57"/>
      <c r="AH17" s="57"/>
      <c r="AI17" s="57"/>
      <c r="AJ17" s="57"/>
    </row>
    <row r="18" spans="1:36" ht="12.75" customHeight="1" x14ac:dyDescent="0.2">
      <c r="A18" s="54" t="s">
        <v>69</v>
      </c>
      <c r="Z18" s="57"/>
      <c r="AA18" s="58"/>
      <c r="AB18" s="57"/>
      <c r="AD18" s="57"/>
      <c r="AE18" s="58"/>
      <c r="AF18" s="57"/>
      <c r="AG18" s="57"/>
      <c r="AH18" s="57"/>
      <c r="AI18" s="57"/>
      <c r="AJ18" s="57"/>
    </row>
    <row r="19" spans="1:36" ht="12.75" customHeight="1" x14ac:dyDescent="0.2">
      <c r="A19" s="55" t="s">
        <v>917</v>
      </c>
      <c r="B19" s="56" t="s">
        <v>1353</v>
      </c>
      <c r="C19" s="77">
        <v>0</v>
      </c>
      <c r="E19" s="77">
        <v>0</v>
      </c>
      <c r="G19" s="77">
        <v>0</v>
      </c>
      <c r="I19" s="77">
        <v>0</v>
      </c>
      <c r="K19" s="77">
        <v>0</v>
      </c>
      <c r="M19" s="77">
        <v>0</v>
      </c>
      <c r="O19" s="77">
        <f>PRODUCT(M19,0/12)</f>
        <v>0</v>
      </c>
      <c r="Q19" s="77">
        <f>SUM(M19,O19)</f>
        <v>0</v>
      </c>
      <c r="S19" s="77">
        <v>1500</v>
      </c>
      <c r="U19" s="77">
        <v>1500</v>
      </c>
      <c r="W19" s="77">
        <v>1500</v>
      </c>
      <c r="Y19" s="77">
        <f>SUM(W19,-I19)</f>
        <v>1500</v>
      </c>
      <c r="Z19" s="57"/>
      <c r="AA19" s="58" t="e">
        <f>IF(W19=0,"N/A",PRODUCT(Y19,1/I19))</f>
        <v>#DIV/0!</v>
      </c>
      <c r="AB19" s="57"/>
      <c r="AC19" s="77">
        <f>SUM(W19,-Q19)</f>
        <v>1500</v>
      </c>
      <c r="AD19" s="57"/>
      <c r="AE19" s="58" t="e">
        <f>IF(W19=0,"N/A",PRODUCT(AC19,1/Q19))</f>
        <v>#DIV/0!</v>
      </c>
      <c r="AF19" s="57"/>
      <c r="AG19" s="57"/>
      <c r="AH19" s="57"/>
      <c r="AI19" s="57"/>
      <c r="AJ19" s="57"/>
    </row>
    <row r="20" spans="1:36" ht="12.75" customHeight="1" x14ac:dyDescent="0.2">
      <c r="A20" s="59" t="s">
        <v>918</v>
      </c>
      <c r="B20" s="60" t="s">
        <v>811</v>
      </c>
      <c r="C20" s="79">
        <v>0</v>
      </c>
      <c r="D20" s="80"/>
      <c r="E20" s="79">
        <v>-6006</v>
      </c>
      <c r="F20" s="80"/>
      <c r="G20" s="79">
        <v>0</v>
      </c>
      <c r="H20" s="79"/>
      <c r="I20" s="79">
        <v>0</v>
      </c>
      <c r="J20" s="79"/>
      <c r="K20" s="79">
        <v>0</v>
      </c>
      <c r="L20" s="79"/>
      <c r="M20" s="79">
        <v>0</v>
      </c>
      <c r="N20" s="79"/>
      <c r="O20" s="79">
        <f>PRODUCT(M20,0/12)</f>
        <v>0</v>
      </c>
      <c r="P20" s="79"/>
      <c r="Q20" s="79">
        <f>SUM(M20,O20)</f>
        <v>0</v>
      </c>
      <c r="R20" s="79"/>
      <c r="S20" s="79">
        <v>0</v>
      </c>
      <c r="T20" s="79"/>
      <c r="U20" s="79">
        <v>0</v>
      </c>
      <c r="V20" s="79"/>
      <c r="W20" s="79">
        <v>0</v>
      </c>
      <c r="X20" s="79"/>
      <c r="Y20" s="79">
        <f>SUM(W20,-I20)</f>
        <v>0</v>
      </c>
      <c r="Z20" s="62"/>
      <c r="AA20" s="63" t="str">
        <f>IF(W20=0,"N/A",PRODUCT(Y20,1/I20))</f>
        <v>N/A</v>
      </c>
      <c r="AB20" s="62"/>
      <c r="AC20" s="79">
        <f>SUM(W20,-Q20)</f>
        <v>0</v>
      </c>
      <c r="AD20" s="62"/>
      <c r="AE20" s="63" t="str">
        <f>IF(W20=0,"N/A",PRODUCT(AC20,1/Q20))</f>
        <v>N/A</v>
      </c>
      <c r="AF20" s="57"/>
      <c r="AG20" s="57"/>
      <c r="AH20" s="57"/>
      <c r="AI20" s="57"/>
      <c r="AJ20" s="57"/>
    </row>
    <row r="21" spans="1:36" ht="12.75" customHeight="1" x14ac:dyDescent="0.2">
      <c r="A21" s="64" t="s">
        <v>70</v>
      </c>
      <c r="C21" s="81">
        <f>SUM(C19:C20)</f>
        <v>0</v>
      </c>
      <c r="E21" s="81">
        <f>SUM(E19:E20)</f>
        <v>-6006</v>
      </c>
      <c r="G21" s="81">
        <f>SUM(G19:G20)</f>
        <v>0</v>
      </c>
      <c r="I21" s="81">
        <f>SUM(I19:I20)</f>
        <v>0</v>
      </c>
      <c r="K21" s="81">
        <f>SUM(K19:K20)</f>
        <v>0</v>
      </c>
      <c r="M21" s="81">
        <f>SUM(M19:M20)</f>
        <v>0</v>
      </c>
      <c r="O21" s="81">
        <f>SUM(O19:O20)</f>
        <v>0</v>
      </c>
      <c r="Q21" s="81">
        <f>SUM(Q19:Q20)</f>
        <v>0</v>
      </c>
      <c r="S21" s="81">
        <f>SUM(S19:S20)</f>
        <v>1500</v>
      </c>
      <c r="U21" s="81">
        <f>SUM(U19:U20)</f>
        <v>1500</v>
      </c>
      <c r="W21" s="81">
        <f>SUM(W19:W20)</f>
        <v>1500</v>
      </c>
      <c r="Y21" s="81">
        <f>SUM(Y19:Y20)</f>
        <v>1500</v>
      </c>
      <c r="Z21" s="57"/>
      <c r="AA21" s="65" t="e">
        <f>IF(W21=0,"N/A",PRODUCT(Y21,1/I21))</f>
        <v>#DIV/0!</v>
      </c>
      <c r="AB21" s="57"/>
      <c r="AC21" s="81">
        <f>SUM(AC19:AC20)</f>
        <v>1500</v>
      </c>
      <c r="AD21" s="57"/>
      <c r="AE21" s="65" t="e">
        <f>IF(W21=0,"N/A",PRODUCT(AC21,1/Q21))</f>
        <v>#DIV/0!</v>
      </c>
      <c r="AF21" s="57"/>
      <c r="AG21" s="57"/>
      <c r="AH21" s="57"/>
      <c r="AI21" s="57"/>
      <c r="AJ21" s="57"/>
    </row>
    <row r="22" spans="1:36" ht="12.75" customHeight="1" x14ac:dyDescent="0.2">
      <c r="Z22" s="57"/>
      <c r="AA22" s="58"/>
      <c r="AB22" s="57"/>
      <c r="AD22" s="57"/>
      <c r="AE22" s="58"/>
      <c r="AF22" s="57"/>
      <c r="AG22" s="57"/>
      <c r="AH22" s="57"/>
      <c r="AI22" s="57"/>
      <c r="AJ22" s="57"/>
    </row>
    <row r="23" spans="1:36" ht="12.75" customHeight="1" thickBot="1" x14ac:dyDescent="0.25">
      <c r="A23" s="67" t="s">
        <v>1324</v>
      </c>
      <c r="C23" s="83">
        <f>SUM(C21)</f>
        <v>0</v>
      </c>
      <c r="E23" s="83">
        <f>SUM(E21)</f>
        <v>-6006</v>
      </c>
      <c r="G23" s="83">
        <f>SUM(G21)</f>
        <v>0</v>
      </c>
      <c r="I23" s="83">
        <f>SUM(I21)</f>
        <v>0</v>
      </c>
      <c r="K23" s="83">
        <f>SUM(K21)</f>
        <v>0</v>
      </c>
      <c r="M23" s="82">
        <f>SUM(M21)</f>
        <v>0</v>
      </c>
      <c r="O23" s="82">
        <f>SUM(O21)</f>
        <v>0</v>
      </c>
      <c r="Q23" s="83">
        <f>SUM(Q21)</f>
        <v>0</v>
      </c>
      <c r="S23" s="82">
        <f>SUM(S21)</f>
        <v>1500</v>
      </c>
      <c r="U23" s="82">
        <f>SUM(U21)</f>
        <v>1500</v>
      </c>
      <c r="W23" s="83">
        <f>SUM(W21)</f>
        <v>1500</v>
      </c>
      <c r="Y23" s="82">
        <f>SUM(Y21)</f>
        <v>1500</v>
      </c>
      <c r="Z23" s="57"/>
      <c r="AA23" s="125" t="e">
        <f>IF(W23=0,"N/A",PRODUCT(Y23,1/I23))</f>
        <v>#DIV/0!</v>
      </c>
      <c r="AB23" s="57"/>
      <c r="AC23" s="82">
        <f>SUM(AC21)</f>
        <v>1500</v>
      </c>
      <c r="AD23" s="57"/>
      <c r="AE23" s="125" t="e">
        <f>IF(W23=0,"N/A",PRODUCT(AC23,1/Q23))</f>
        <v>#DIV/0!</v>
      </c>
      <c r="AF23" s="57"/>
      <c r="AG23" s="57"/>
      <c r="AH23" s="57"/>
      <c r="AI23" s="57"/>
      <c r="AJ23" s="57"/>
    </row>
    <row r="24" spans="1:36" ht="12.75" customHeight="1" thickTop="1" x14ac:dyDescent="0.2">
      <c r="Z24" s="57"/>
      <c r="AB24" s="57"/>
      <c r="AD24" s="57"/>
      <c r="AF24" s="57"/>
      <c r="AG24" s="57"/>
      <c r="AH24" s="57"/>
      <c r="AI24" s="57"/>
      <c r="AJ24" s="57"/>
    </row>
    <row r="25" spans="1:36" ht="12.75" customHeight="1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ht="12.75" customHeight="1" x14ac:dyDescent="0.2"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A27" s="67" t="s">
        <v>786</v>
      </c>
      <c r="C27" s="88">
        <f>SUM(C13,-C23)</f>
        <v>0</v>
      </c>
      <c r="E27" s="88">
        <f>SUM(E13,-E23)</f>
        <v>7052.35</v>
      </c>
      <c r="G27" s="88">
        <f>SUM(G13,-G23)</f>
        <v>2042.75</v>
      </c>
      <c r="I27" s="88">
        <f>SUM(I13,-I23)</f>
        <v>1000</v>
      </c>
      <c r="K27" s="88">
        <f>SUM(K13,-K23)</f>
        <v>1000</v>
      </c>
      <c r="M27" s="88">
        <f>SUM(M13,-M23)</f>
        <v>2261.7399999999998</v>
      </c>
      <c r="O27" s="88">
        <f>SUM(O13,-O23)</f>
        <v>0</v>
      </c>
      <c r="Q27" s="88">
        <f>SUM(Q13,-Q23)</f>
        <v>2261.7399999999998</v>
      </c>
      <c r="S27" s="88">
        <f>SUM(S13,-S23)</f>
        <v>0</v>
      </c>
      <c r="U27" s="88">
        <f>SUM(U13,-U23)</f>
        <v>0</v>
      </c>
      <c r="W27" s="88">
        <f>SUM(W13,-W23)</f>
        <v>0</v>
      </c>
      <c r="Z27" s="57"/>
      <c r="AB27" s="57"/>
      <c r="AD27" s="57"/>
      <c r="AE27" s="109"/>
      <c r="AF27" s="57"/>
      <c r="AG27" s="57"/>
      <c r="AH27" s="57"/>
      <c r="AI27" s="57"/>
      <c r="AJ27" s="57"/>
    </row>
    <row r="28" spans="1:36" ht="12.75" customHeight="1" x14ac:dyDescent="0.2"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A29" s="70" t="s">
        <v>787</v>
      </c>
      <c r="C29" s="77">
        <v>0</v>
      </c>
      <c r="E29" s="77">
        <f>C33</f>
        <v>0</v>
      </c>
      <c r="G29" s="77">
        <f>E33</f>
        <v>7052.35</v>
      </c>
      <c r="I29" s="77">
        <f>G33</f>
        <v>9095.1</v>
      </c>
      <c r="K29" s="77">
        <f>G33</f>
        <v>9095.1</v>
      </c>
      <c r="Q29" s="77">
        <f>G33</f>
        <v>9095.1</v>
      </c>
      <c r="W29" s="77">
        <f>Q33</f>
        <v>11356.84</v>
      </c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x14ac:dyDescent="0.2">
      <c r="Z30" s="57"/>
      <c r="AB30" s="57"/>
      <c r="AD30" s="57"/>
      <c r="AF30" s="57"/>
      <c r="AG30" s="57"/>
      <c r="AH30" s="57"/>
      <c r="AI30" s="57"/>
      <c r="AJ30" s="57"/>
    </row>
    <row r="31" spans="1:36" ht="12.75" customHeight="1" x14ac:dyDescent="0.2">
      <c r="A31" s="70" t="s">
        <v>788</v>
      </c>
      <c r="C31" s="77">
        <f>-C10</f>
        <v>0</v>
      </c>
      <c r="E31" s="77">
        <f>-E10</f>
        <v>0</v>
      </c>
      <c r="G31" s="77">
        <f>-G10</f>
        <v>0</v>
      </c>
      <c r="I31" s="77">
        <f>-I10</f>
        <v>0</v>
      </c>
      <c r="K31" s="77">
        <f>-K10</f>
        <v>0</v>
      </c>
      <c r="Q31" s="77">
        <f>-Q10</f>
        <v>0</v>
      </c>
      <c r="W31" s="77">
        <f>-W10</f>
        <v>0</v>
      </c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1:36" ht="12.75" customHeight="1" thickBot="1" x14ac:dyDescent="0.25">
      <c r="A33" s="67" t="s">
        <v>789</v>
      </c>
      <c r="C33" s="83">
        <f>SUM(C27,C29,C31)</f>
        <v>0</v>
      </c>
      <c r="E33" s="83">
        <f>SUM(E27,E29,E31)</f>
        <v>7052.35</v>
      </c>
      <c r="G33" s="83">
        <f>SUM(G27,G29,G31)</f>
        <v>9095.1</v>
      </c>
      <c r="I33" s="83">
        <f>SUM(I27,I29,I31)</f>
        <v>10095.1</v>
      </c>
      <c r="K33" s="83">
        <f>SUM(K27,K29,K31)</f>
        <v>10095.1</v>
      </c>
      <c r="M33" s="88"/>
      <c r="O33" s="88"/>
      <c r="Q33" s="83">
        <f>SUM(Q27,Q29,Q31)</f>
        <v>11356.84</v>
      </c>
      <c r="S33" s="88"/>
      <c r="U33" s="88"/>
      <c r="W33" s="83">
        <f>SUM(W27,W29,W31)</f>
        <v>11356.84</v>
      </c>
      <c r="Z33" s="57"/>
      <c r="AB33" s="57"/>
      <c r="AD33" s="57"/>
      <c r="AE33" s="109"/>
      <c r="AF33" s="57"/>
      <c r="AG33" s="57"/>
      <c r="AH33" s="57"/>
      <c r="AI33" s="57"/>
      <c r="AJ33" s="57"/>
    </row>
    <row r="34" spans="1:36" ht="12.75" customHeight="1" thickTop="1" x14ac:dyDescent="0.2">
      <c r="Z34" s="57"/>
      <c r="AB34" s="57"/>
      <c r="AD34" s="57"/>
      <c r="AF34" s="57"/>
      <c r="AG34" s="57"/>
      <c r="AH34" s="57"/>
      <c r="AI34" s="57"/>
      <c r="AJ34" s="57"/>
    </row>
    <row r="35" spans="1:36" ht="12.75" customHeight="1" x14ac:dyDescent="0.2">
      <c r="Z35" s="57"/>
      <c r="AB35" s="57"/>
      <c r="AD35" s="57"/>
      <c r="AF35" s="57"/>
      <c r="AG35" s="57"/>
      <c r="AH35" s="57"/>
      <c r="AI35" s="57"/>
      <c r="AJ35" s="57"/>
    </row>
    <row r="36" spans="1:36" ht="12.75" customHeight="1" x14ac:dyDescent="0.2">
      <c r="Z36" s="57"/>
      <c r="AB36" s="57"/>
      <c r="AD36" s="57"/>
      <c r="AF36" s="57"/>
      <c r="AG36" s="57"/>
      <c r="AH36" s="57"/>
      <c r="AI36" s="57"/>
      <c r="AJ36" s="57"/>
    </row>
    <row r="37" spans="1:36" ht="12.75" customHeight="1" x14ac:dyDescent="0.2">
      <c r="Z37" s="57"/>
      <c r="AB37" s="57"/>
      <c r="AD37" s="57"/>
      <c r="AF37" s="57"/>
      <c r="AG37" s="57"/>
      <c r="AH37" s="57"/>
      <c r="AI37" s="57"/>
      <c r="AJ37" s="57"/>
    </row>
    <row r="38" spans="1:36" ht="12.75" customHeight="1" x14ac:dyDescent="0.2">
      <c r="Z38" s="57"/>
      <c r="AB38" s="57"/>
      <c r="AD38" s="57"/>
      <c r="AF38" s="57"/>
      <c r="AG38" s="57"/>
      <c r="AH38" s="57"/>
      <c r="AI38" s="57"/>
      <c r="AJ38" s="57"/>
    </row>
    <row r="39" spans="1:36" ht="12.75" customHeight="1" x14ac:dyDescent="0.2">
      <c r="Z39" s="57"/>
      <c r="AB39" s="57"/>
      <c r="AD39" s="57"/>
      <c r="AF39" s="57"/>
      <c r="AG39" s="57"/>
      <c r="AH39" s="57"/>
      <c r="AI39" s="57"/>
      <c r="AJ39" s="57"/>
    </row>
    <row r="40" spans="1:36" x14ac:dyDescent="0.2">
      <c r="Z40" s="57"/>
      <c r="AB40" s="57"/>
      <c r="AD40" s="57"/>
      <c r="AF40" s="57"/>
      <c r="AG40" s="57"/>
      <c r="AH40" s="57"/>
      <c r="AI40" s="57"/>
      <c r="AJ40" s="57"/>
    </row>
    <row r="41" spans="1:36" x14ac:dyDescent="0.2">
      <c r="Z41" s="57"/>
      <c r="AB41" s="57"/>
      <c r="AD41" s="57"/>
      <c r="AF41" s="57"/>
      <c r="AG41" s="57"/>
      <c r="AH41" s="57"/>
      <c r="AI41" s="57"/>
      <c r="AJ41" s="57"/>
    </row>
    <row r="42" spans="1:36" x14ac:dyDescent="0.2">
      <c r="Z42" s="57"/>
      <c r="AB42" s="57"/>
      <c r="AD42" s="57"/>
      <c r="AF42" s="57"/>
      <c r="AG42" s="57"/>
      <c r="AH42" s="57"/>
      <c r="AI42" s="57"/>
      <c r="AJ42" s="57"/>
    </row>
    <row r="43" spans="1:36" x14ac:dyDescent="0.2">
      <c r="Z43" s="57"/>
      <c r="AB43" s="57"/>
      <c r="AD43" s="57"/>
      <c r="AF43" s="57"/>
      <c r="AG43" s="57"/>
      <c r="AH43" s="57"/>
      <c r="AI43" s="57"/>
      <c r="AJ43" s="57"/>
    </row>
    <row r="44" spans="1:36" x14ac:dyDescent="0.2">
      <c r="Z44" s="57"/>
      <c r="AB44" s="57"/>
      <c r="AD44" s="57"/>
      <c r="AF44" s="57"/>
      <c r="AG44" s="57"/>
      <c r="AH44" s="57"/>
      <c r="AI44" s="57"/>
      <c r="AJ44" s="57"/>
    </row>
    <row r="45" spans="1:36" x14ac:dyDescent="0.2">
      <c r="Z45" s="57"/>
      <c r="AB45" s="57"/>
      <c r="AD45" s="57"/>
      <c r="AF45" s="57"/>
      <c r="AG45" s="57"/>
      <c r="AH45" s="57"/>
      <c r="AI45" s="57"/>
      <c r="AJ45" s="57"/>
    </row>
    <row r="46" spans="1:36" x14ac:dyDescent="0.2">
      <c r="Z46" s="57"/>
      <c r="AB46" s="57"/>
      <c r="AD46" s="57"/>
      <c r="AF46" s="57"/>
      <c r="AG46" s="57"/>
      <c r="AH46" s="57"/>
      <c r="AI46" s="57"/>
      <c r="AJ46" s="57"/>
    </row>
    <row r="47" spans="1:36" x14ac:dyDescent="0.2">
      <c r="Z47" s="57"/>
      <c r="AB47" s="57"/>
      <c r="AD47" s="57"/>
      <c r="AF47" s="57"/>
      <c r="AG47" s="57"/>
      <c r="AH47" s="57"/>
      <c r="AI47" s="57"/>
      <c r="AJ47" s="57"/>
    </row>
    <row r="48" spans="1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  <row r="65" spans="26:36" x14ac:dyDescent="0.2">
      <c r="Z65" s="57"/>
      <c r="AB65" s="57"/>
      <c r="AD65" s="57"/>
      <c r="AF65" s="57"/>
      <c r="AG65" s="57"/>
      <c r="AH65" s="57"/>
      <c r="AI65" s="57"/>
      <c r="AJ65" s="57"/>
    </row>
    <row r="66" spans="26:36" x14ac:dyDescent="0.2">
      <c r="Z66" s="57"/>
      <c r="AB66" s="57"/>
      <c r="AD66" s="57"/>
      <c r="AF66" s="57"/>
      <c r="AG66" s="57"/>
      <c r="AH66" s="57"/>
      <c r="AI66" s="57"/>
      <c r="AJ66" s="57"/>
    </row>
    <row r="67" spans="26:36" x14ac:dyDescent="0.2">
      <c r="Z67" s="57"/>
      <c r="AB67" s="57"/>
      <c r="AD67" s="57"/>
      <c r="AF67" s="57"/>
      <c r="AG67" s="57"/>
      <c r="AH67" s="57"/>
      <c r="AI67" s="57"/>
      <c r="AJ67" s="57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939E-673D-4078-8061-39022F13CFF6}">
  <sheetPr>
    <tabColor rgb="FF92D050"/>
  </sheetPr>
  <dimension ref="A1:AJ64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B1" s="48"/>
      <c r="AC1" s="107" t="s">
        <v>1067</v>
      </c>
      <c r="AD1" s="48"/>
      <c r="AE1" s="125" t="s">
        <v>1070</v>
      </c>
      <c r="AF1" s="48"/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B2" s="48"/>
      <c r="AC2" s="107" t="s">
        <v>1068</v>
      </c>
      <c r="AD2" s="48"/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B3" s="48"/>
      <c r="AC3" s="107" t="s">
        <v>1071</v>
      </c>
      <c r="AD3" s="48"/>
      <c r="AE3" s="125" t="s">
        <v>1071</v>
      </c>
      <c r="AF3" s="48"/>
    </row>
    <row r="4" spans="1:36" s="51" customFormat="1" ht="12.75" customHeight="1" x14ac:dyDescent="0.2">
      <c r="A4" s="50" t="s">
        <v>1356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1429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G5" s="52"/>
      <c r="AH5" s="52"/>
      <c r="AI5" s="52"/>
      <c r="AJ5" s="52"/>
    </row>
    <row r="6" spans="1:36" ht="12.75" customHeight="1" x14ac:dyDescent="0.2">
      <c r="A6" s="59" t="s">
        <v>919</v>
      </c>
      <c r="B6" s="60" t="s">
        <v>920</v>
      </c>
      <c r="C6" s="79">
        <v>0</v>
      </c>
      <c r="D6" s="80"/>
      <c r="E6" s="79">
        <v>0</v>
      </c>
      <c r="F6" s="80"/>
      <c r="G6" s="79">
        <v>22183</v>
      </c>
      <c r="H6" s="79"/>
      <c r="I6" s="79">
        <v>0</v>
      </c>
      <c r="J6" s="79"/>
      <c r="K6" s="79">
        <v>0</v>
      </c>
      <c r="L6" s="79"/>
      <c r="M6" s="79">
        <v>0</v>
      </c>
      <c r="N6" s="79"/>
      <c r="O6" s="79">
        <f>PRODUCT(M6,0/12)</f>
        <v>0</v>
      </c>
      <c r="P6" s="79"/>
      <c r="Q6" s="79">
        <f>SUM(M6,O6)</f>
        <v>0</v>
      </c>
      <c r="R6" s="79"/>
      <c r="S6" s="79">
        <v>0</v>
      </c>
      <c r="T6" s="79"/>
      <c r="U6" s="79">
        <v>0</v>
      </c>
      <c r="V6" s="79"/>
      <c r="W6" s="79">
        <v>0</v>
      </c>
      <c r="X6" s="79"/>
      <c r="Y6" s="79">
        <f>SUM(W6,-I6)</f>
        <v>0</v>
      </c>
      <c r="Z6" s="62"/>
      <c r="AA6" s="63" t="str">
        <f>IF(W6=0,"N/A",PRODUCT(Y6,1/I6))</f>
        <v>N/A</v>
      </c>
      <c r="AB6" s="62"/>
      <c r="AC6" s="79">
        <f>SUM(W6,-Q6)</f>
        <v>0</v>
      </c>
      <c r="AD6" s="62"/>
      <c r="AE6" s="63" t="str">
        <f>IF(W6=0,"N/A",PRODUCT(AC6,1/Q6))</f>
        <v>N/A</v>
      </c>
      <c r="AF6" s="57"/>
      <c r="AG6" s="57"/>
      <c r="AH6" s="57"/>
      <c r="AI6" s="57"/>
      <c r="AJ6" s="57"/>
    </row>
    <row r="7" spans="1:36" ht="12.75" customHeight="1" x14ac:dyDescent="0.2">
      <c r="A7" s="64" t="s">
        <v>1430</v>
      </c>
      <c r="C7" s="81">
        <f>SUM(C6:C6)</f>
        <v>0</v>
      </c>
      <c r="E7" s="81">
        <f>SUM(E6:E6)</f>
        <v>0</v>
      </c>
      <c r="G7" s="81">
        <f>SUM(G6:G6)</f>
        <v>22183</v>
      </c>
      <c r="I7" s="81">
        <f>SUM(I6:I6)</f>
        <v>0</v>
      </c>
      <c r="K7" s="81">
        <f>SUM(K6:K6)</f>
        <v>0</v>
      </c>
      <c r="M7" s="81">
        <f>SUM(M6:M6)</f>
        <v>0</v>
      </c>
      <c r="O7" s="81">
        <f>SUM(O6:O6)</f>
        <v>0</v>
      </c>
      <c r="Q7" s="81">
        <f>SUM(Q6:Q6)</f>
        <v>0</v>
      </c>
      <c r="S7" s="81">
        <f>SUM(S6:S6)</f>
        <v>0</v>
      </c>
      <c r="U7" s="81">
        <f>SUM(U6:U6)</f>
        <v>0</v>
      </c>
      <c r="W7" s="81">
        <f>SUM(W6:W6)</f>
        <v>0</v>
      </c>
      <c r="Y7" s="81">
        <f>SUM(Y6:Y6)</f>
        <v>0</v>
      </c>
      <c r="Z7" s="57"/>
      <c r="AA7" s="65" t="str">
        <f>IF(W7=0,"N/A",PRODUCT(Y7,1/I7))</f>
        <v>N/A</v>
      </c>
      <c r="AB7" s="57"/>
      <c r="AC7" s="81">
        <f>SUM(AC6:AC6)</f>
        <v>0</v>
      </c>
      <c r="AD7" s="57"/>
      <c r="AE7" s="65" t="str">
        <f>IF(W7=0,"N/A",PRODUCT(AC7,1/Q7))</f>
        <v>N/A</v>
      </c>
      <c r="AF7" s="57"/>
      <c r="AG7" s="57"/>
      <c r="AH7" s="57"/>
      <c r="AI7" s="57"/>
      <c r="AJ7" s="57"/>
    </row>
    <row r="8" spans="1:36" ht="12.75" customHeight="1" x14ac:dyDescent="0.2">
      <c r="Z8" s="57"/>
      <c r="AB8" s="57"/>
      <c r="AD8" s="57"/>
      <c r="AF8" s="57"/>
      <c r="AG8" s="57"/>
      <c r="AH8" s="57"/>
      <c r="AI8" s="57"/>
      <c r="AJ8" s="57"/>
    </row>
    <row r="9" spans="1:36" s="51" customFormat="1" ht="12.75" customHeight="1" x14ac:dyDescent="0.2">
      <c r="A9" s="54" t="s">
        <v>1346</v>
      </c>
      <c r="C9" s="106"/>
      <c r="D9" s="78"/>
      <c r="E9" s="106"/>
      <c r="F9" s="78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52"/>
      <c r="AA9" s="58"/>
      <c r="AB9" s="52"/>
      <c r="AC9" s="106"/>
      <c r="AD9" s="52"/>
      <c r="AE9" s="58"/>
      <c r="AF9" s="52"/>
      <c r="AG9" s="52"/>
      <c r="AH9" s="52"/>
      <c r="AI9" s="52"/>
      <c r="AJ9" s="52"/>
    </row>
    <row r="10" spans="1:36" ht="12.75" customHeight="1" x14ac:dyDescent="0.2">
      <c r="A10" s="59" t="s">
        <v>1354</v>
      </c>
      <c r="B10" s="60" t="s">
        <v>1142</v>
      </c>
      <c r="C10" s="79">
        <v>0</v>
      </c>
      <c r="D10" s="80"/>
      <c r="E10" s="79">
        <v>0</v>
      </c>
      <c r="F10" s="80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f>PRODUCT(M10,0/12)</f>
        <v>0</v>
      </c>
      <c r="P10" s="79"/>
      <c r="Q10" s="79">
        <f>SUM(M10,O10)</f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>SUM(W10,-I10)</f>
        <v>0</v>
      </c>
      <c r="Z10" s="62"/>
      <c r="AA10" s="63" t="str">
        <f>IF(W10=0,"N/A",PRODUCT(Y10,1/I10))</f>
        <v>N/A</v>
      </c>
      <c r="AB10" s="62"/>
      <c r="AC10" s="79">
        <f>SUM(W10,-Q10)</f>
        <v>0</v>
      </c>
      <c r="AD10" s="62"/>
      <c r="AE10" s="63" t="str">
        <f>IF(W10=0,"N/A",PRODUCT(AC10,1/Q10))</f>
        <v>N/A</v>
      </c>
      <c r="AF10" s="57"/>
      <c r="AG10" s="57"/>
      <c r="AH10" s="57"/>
      <c r="AI10" s="57"/>
      <c r="AJ10" s="57"/>
    </row>
    <row r="11" spans="1:36" ht="12.75" customHeight="1" x14ac:dyDescent="0.2">
      <c r="A11" s="64" t="s">
        <v>1347</v>
      </c>
      <c r="C11" s="81">
        <f>SUM(C10:C10)</f>
        <v>0</v>
      </c>
      <c r="E11" s="81">
        <f>SUM(E10:E10)</f>
        <v>0</v>
      </c>
      <c r="G11" s="81">
        <f>SUM(G10:G10)</f>
        <v>0</v>
      </c>
      <c r="I11" s="81">
        <f>SUM(I10:I10)</f>
        <v>0</v>
      </c>
      <c r="K11" s="81">
        <f>SUM(K10:K10)</f>
        <v>0</v>
      </c>
      <c r="M11" s="81">
        <f>SUM(M10:M10)</f>
        <v>0</v>
      </c>
      <c r="O11" s="81">
        <f>SUM(O10:O10)</f>
        <v>0</v>
      </c>
      <c r="Q11" s="81">
        <f>SUM(Q10:Q10)</f>
        <v>0</v>
      </c>
      <c r="S11" s="81">
        <f>SUM(S10:S10)</f>
        <v>0</v>
      </c>
      <c r="U11" s="81">
        <f>SUM(U10:U10)</f>
        <v>0</v>
      </c>
      <c r="W11" s="81">
        <f>SUM(W10:W10)</f>
        <v>0</v>
      </c>
      <c r="Y11" s="81">
        <f>SUM(Y10:Y10)</f>
        <v>0</v>
      </c>
      <c r="Z11" s="57"/>
      <c r="AA11" s="65" t="str">
        <f>IF(W11=0,"N/A",PRODUCT(Y11,1/I11))</f>
        <v>N/A</v>
      </c>
      <c r="AB11" s="57"/>
      <c r="AC11" s="81">
        <f>SUM(AC10:AC10)</f>
        <v>0</v>
      </c>
      <c r="AD11" s="57"/>
      <c r="AE11" s="65" t="str">
        <f>IF(W11=0,"N/A",PRODUCT(AC11,1/Q11))</f>
        <v>N/A</v>
      </c>
      <c r="AF11" s="57"/>
      <c r="AG11" s="57"/>
      <c r="AH11" s="57"/>
      <c r="AI11" s="57"/>
      <c r="AJ11" s="57"/>
    </row>
    <row r="12" spans="1:36" ht="12.75" customHeight="1" x14ac:dyDescent="0.2">
      <c r="Z12" s="57"/>
      <c r="AB12" s="57"/>
      <c r="AD12" s="57"/>
      <c r="AF12" s="57"/>
      <c r="AG12" s="57"/>
      <c r="AH12" s="57"/>
      <c r="AI12" s="57"/>
      <c r="AJ12" s="57"/>
    </row>
    <row r="13" spans="1:36" ht="12.75" customHeight="1" thickBot="1" x14ac:dyDescent="0.25">
      <c r="A13" s="67" t="s">
        <v>921</v>
      </c>
      <c r="C13" s="83">
        <f>SUM(C7,C11)</f>
        <v>0</v>
      </c>
      <c r="E13" s="83">
        <f>SUM(E7,E11)</f>
        <v>0</v>
      </c>
      <c r="G13" s="83">
        <f>SUM(G7,G11)</f>
        <v>22183</v>
      </c>
      <c r="I13" s="83">
        <f>SUM(I7,I11)</f>
        <v>0</v>
      </c>
      <c r="K13" s="83">
        <f>SUM(K7,K11)</f>
        <v>0</v>
      </c>
      <c r="M13" s="82">
        <f>SUM(M7,M11)</f>
        <v>0</v>
      </c>
      <c r="O13" s="82">
        <f>SUM(O7,O11)</f>
        <v>0</v>
      </c>
      <c r="Q13" s="83">
        <f>SUM(Q7,Q11)</f>
        <v>0</v>
      </c>
      <c r="S13" s="82">
        <f>SUM(S7,S11)</f>
        <v>0</v>
      </c>
      <c r="U13" s="82">
        <f>SUM(U7,U11)</f>
        <v>0</v>
      </c>
      <c r="W13" s="83">
        <f>SUM(W7,W11)</f>
        <v>0</v>
      </c>
      <c r="Y13" s="82">
        <f>SUM(Y7,Y11)</f>
        <v>0</v>
      </c>
      <c r="Z13" s="57"/>
      <c r="AA13" s="125" t="str">
        <f>IF(W13=0,"N/A",PRODUCT(Y13,1/I13))</f>
        <v>N/A</v>
      </c>
      <c r="AB13" s="57"/>
      <c r="AC13" s="82">
        <f>SUM(AC7,AC11)</f>
        <v>0</v>
      </c>
      <c r="AD13" s="57"/>
      <c r="AE13" s="125" t="str">
        <f>IF(W13=0,"N/A",PRODUCT(AC13,1/Q13))</f>
        <v>N/A</v>
      </c>
      <c r="AF13" s="57"/>
      <c r="AG13" s="57"/>
      <c r="AH13" s="57"/>
      <c r="AI13" s="57"/>
      <c r="AJ13" s="57"/>
    </row>
    <row r="14" spans="1:36" ht="12.75" customHeight="1" thickTop="1" x14ac:dyDescent="0.2">
      <c r="Z14" s="57"/>
      <c r="AB14" s="57"/>
      <c r="AD14" s="57"/>
      <c r="AF14" s="57"/>
      <c r="AG14" s="57"/>
      <c r="AH14" s="57"/>
      <c r="AI14" s="57"/>
      <c r="AJ14" s="57"/>
    </row>
    <row r="15" spans="1:36" ht="12.75" customHeight="1" x14ac:dyDescent="0.2">
      <c r="Z15" s="57"/>
      <c r="AB15" s="57"/>
      <c r="AD15" s="57"/>
      <c r="AF15" s="57"/>
      <c r="AG15" s="57"/>
      <c r="AH15" s="57"/>
      <c r="AI15" s="57"/>
      <c r="AJ15" s="57"/>
    </row>
    <row r="16" spans="1:36" ht="12.75" customHeight="1" x14ac:dyDescent="0.2">
      <c r="Z16" s="57"/>
      <c r="AB16" s="57"/>
      <c r="AD16" s="57"/>
      <c r="AF16" s="57"/>
      <c r="AG16" s="57"/>
      <c r="AH16" s="57"/>
      <c r="AI16" s="57"/>
      <c r="AJ16" s="57"/>
    </row>
    <row r="17" spans="1:36" ht="12.75" customHeight="1" x14ac:dyDescent="0.2">
      <c r="A17" s="67" t="s">
        <v>1355</v>
      </c>
      <c r="Z17" s="57"/>
      <c r="AB17" s="57"/>
      <c r="AD17" s="57"/>
      <c r="AF17" s="57"/>
      <c r="AG17" s="57"/>
      <c r="AH17" s="57"/>
      <c r="AI17" s="57"/>
      <c r="AJ17" s="57"/>
    </row>
    <row r="18" spans="1:36" ht="12.75" customHeight="1" x14ac:dyDescent="0.2">
      <c r="A18" s="54" t="s">
        <v>69</v>
      </c>
      <c r="Z18" s="57"/>
      <c r="AB18" s="57"/>
      <c r="AD18" s="57"/>
      <c r="AF18" s="57"/>
      <c r="AG18" s="57"/>
      <c r="AH18" s="57"/>
      <c r="AI18" s="57"/>
      <c r="AJ18" s="57"/>
    </row>
    <row r="19" spans="1:36" ht="12.75" customHeight="1" x14ac:dyDescent="0.2">
      <c r="A19" s="59" t="s">
        <v>1358</v>
      </c>
      <c r="B19" s="60" t="s">
        <v>347</v>
      </c>
      <c r="C19" s="79">
        <v>0</v>
      </c>
      <c r="D19" s="80"/>
      <c r="E19" s="79">
        <v>0</v>
      </c>
      <c r="F19" s="80"/>
      <c r="G19" s="79">
        <v>0</v>
      </c>
      <c r="H19" s="79"/>
      <c r="I19" s="79">
        <v>0</v>
      </c>
      <c r="J19" s="79"/>
      <c r="K19" s="79">
        <v>0</v>
      </c>
      <c r="L19" s="79"/>
      <c r="M19" s="79">
        <v>0</v>
      </c>
      <c r="N19" s="79"/>
      <c r="O19" s="79">
        <f>PRODUCT(M19,0/12)</f>
        <v>0</v>
      </c>
      <c r="P19" s="79"/>
      <c r="Q19" s="79">
        <f>SUM(M19,O19)</f>
        <v>0</v>
      </c>
      <c r="R19" s="79"/>
      <c r="S19" s="79">
        <v>0</v>
      </c>
      <c r="T19" s="79"/>
      <c r="U19" s="79">
        <v>0</v>
      </c>
      <c r="V19" s="79"/>
      <c r="W19" s="79">
        <v>0</v>
      </c>
      <c r="X19" s="79"/>
      <c r="Y19" s="79">
        <f>SUM(W19,-I19)</f>
        <v>0</v>
      </c>
      <c r="Z19" s="62"/>
      <c r="AA19" s="63" t="str">
        <f>IF(W19=0,"N/A",PRODUCT(Y19,1/I19))</f>
        <v>N/A</v>
      </c>
      <c r="AB19" s="62"/>
      <c r="AC19" s="79">
        <f>SUM(W19,-Q19)</f>
        <v>0</v>
      </c>
      <c r="AD19" s="62"/>
      <c r="AE19" s="63" t="str">
        <f>IF(W19=0,"N/A",PRODUCT(AC19,1/Q19))</f>
        <v>N/A</v>
      </c>
      <c r="AF19" s="57"/>
      <c r="AG19" s="57"/>
      <c r="AH19" s="57"/>
      <c r="AI19" s="57"/>
      <c r="AJ19" s="57"/>
    </row>
    <row r="20" spans="1:36" ht="12.75" customHeight="1" x14ac:dyDescent="0.2">
      <c r="A20" s="64" t="s">
        <v>70</v>
      </c>
      <c r="C20" s="81">
        <f>SUM(C19:C19)</f>
        <v>0</v>
      </c>
      <c r="E20" s="81">
        <f>SUM(E19:E19)</f>
        <v>0</v>
      </c>
      <c r="G20" s="81">
        <f>SUM(G19:G19)</f>
        <v>0</v>
      </c>
      <c r="I20" s="81">
        <f>SUM(I19:I19)</f>
        <v>0</v>
      </c>
      <c r="K20" s="81">
        <f>SUM(K19:K19)</f>
        <v>0</v>
      </c>
      <c r="M20" s="81">
        <f>SUM(M19:M19)</f>
        <v>0</v>
      </c>
      <c r="O20" s="81">
        <f>SUM(O19:O19)</f>
        <v>0</v>
      </c>
      <c r="Q20" s="81">
        <f>SUM(Q19:Q19)</f>
        <v>0</v>
      </c>
      <c r="S20" s="81">
        <f>SUM(S19:S19)</f>
        <v>0</v>
      </c>
      <c r="U20" s="81">
        <f>SUM(U19:U19)</f>
        <v>0</v>
      </c>
      <c r="W20" s="81">
        <f>SUM(W19:W19)</f>
        <v>0</v>
      </c>
      <c r="Y20" s="81">
        <f>SUM(Y19:Y19)</f>
        <v>0</v>
      </c>
      <c r="Z20" s="57"/>
      <c r="AA20" s="65" t="str">
        <f>IF(W20=0,"N/A",PRODUCT(Y20,1/I20))</f>
        <v>N/A</v>
      </c>
      <c r="AB20" s="57"/>
      <c r="AC20" s="81">
        <f>SUM(AC19:AC19)</f>
        <v>0</v>
      </c>
      <c r="AD20" s="57"/>
      <c r="AE20" s="65" t="str">
        <f>IF(W20=0,"N/A",PRODUCT(AC20,1/Q20))</f>
        <v>N/A</v>
      </c>
      <c r="AF20" s="57"/>
      <c r="AG20" s="57"/>
      <c r="AH20" s="57"/>
      <c r="AI20" s="57"/>
      <c r="AJ20" s="57"/>
    </row>
    <row r="21" spans="1:36" ht="12.75" customHeight="1" x14ac:dyDescent="0.2">
      <c r="Z21" s="57"/>
      <c r="AB21" s="57"/>
      <c r="AD21" s="57"/>
      <c r="AF21" s="57"/>
      <c r="AG21" s="57"/>
      <c r="AH21" s="57"/>
      <c r="AI21" s="57"/>
      <c r="AJ21" s="57"/>
    </row>
    <row r="22" spans="1:36" ht="12.75" customHeight="1" thickBot="1" x14ac:dyDescent="0.25">
      <c r="A22" s="67" t="s">
        <v>1357</v>
      </c>
      <c r="C22" s="83">
        <f>SUM(C20)</f>
        <v>0</v>
      </c>
      <c r="E22" s="83">
        <f>SUM(E20)</f>
        <v>0</v>
      </c>
      <c r="G22" s="83">
        <f>SUM(G20)</f>
        <v>0</v>
      </c>
      <c r="I22" s="83">
        <f>SUM(I20)</f>
        <v>0</v>
      </c>
      <c r="K22" s="83">
        <f>SUM(K20)</f>
        <v>0</v>
      </c>
      <c r="M22" s="82">
        <f>SUM(M20)</f>
        <v>0</v>
      </c>
      <c r="O22" s="82">
        <f>SUM(O20)</f>
        <v>0</v>
      </c>
      <c r="Q22" s="83">
        <f>SUM(Q20)</f>
        <v>0</v>
      </c>
      <c r="S22" s="82">
        <f>SUM(S20)</f>
        <v>0</v>
      </c>
      <c r="U22" s="82">
        <f>SUM(U20)</f>
        <v>0</v>
      </c>
      <c r="W22" s="83">
        <f>SUM(W20)</f>
        <v>0</v>
      </c>
      <c r="Y22" s="82">
        <f>SUM(Y20)</f>
        <v>0</v>
      </c>
      <c r="Z22" s="57"/>
      <c r="AA22" s="125" t="str">
        <f>IF(W22=0,"N/A",PRODUCT(Y22,1/I22))</f>
        <v>N/A</v>
      </c>
      <c r="AB22" s="57"/>
      <c r="AC22" s="82">
        <f>SUM(AC20)</f>
        <v>0</v>
      </c>
      <c r="AD22" s="57"/>
      <c r="AE22" s="125" t="str">
        <f>IF(W22=0,"N/A",PRODUCT(AC22,1/Q22))</f>
        <v>N/A</v>
      </c>
      <c r="AF22" s="57"/>
      <c r="AG22" s="57"/>
      <c r="AH22" s="57"/>
      <c r="AI22" s="57"/>
      <c r="AJ22" s="57"/>
    </row>
    <row r="23" spans="1:36" ht="12.75" customHeight="1" thickTop="1" x14ac:dyDescent="0.2">
      <c r="Z23" s="57"/>
      <c r="AB23" s="57"/>
      <c r="AD23" s="57"/>
      <c r="AF23" s="57"/>
      <c r="AG23" s="57"/>
      <c r="AH23" s="57"/>
      <c r="AI23" s="57"/>
      <c r="AJ23" s="57"/>
    </row>
    <row r="24" spans="1:36" ht="12.75" customHeight="1" x14ac:dyDescent="0.2">
      <c r="A24" s="67" t="s">
        <v>786</v>
      </c>
      <c r="C24" s="88">
        <f>SUM(C13,-C22)</f>
        <v>0</v>
      </c>
      <c r="E24" s="88">
        <f>SUM(E13,-E22)</f>
        <v>0</v>
      </c>
      <c r="G24" s="88">
        <f>SUM(G13,-G22)</f>
        <v>22183</v>
      </c>
      <c r="I24" s="88">
        <f>SUM(I13,-I22)</f>
        <v>0</v>
      </c>
      <c r="K24" s="88">
        <f>SUM(K13,-K22)</f>
        <v>0</v>
      </c>
      <c r="M24" s="88">
        <f>SUM(M13,-M22)</f>
        <v>0</v>
      </c>
      <c r="O24" s="88">
        <f>SUM(O13,-O22)</f>
        <v>0</v>
      </c>
      <c r="Q24" s="88">
        <f>SUM(Q13,-Q22)</f>
        <v>0</v>
      </c>
      <c r="S24" s="88">
        <f>SUM(S13,-S22)</f>
        <v>0</v>
      </c>
      <c r="U24" s="88">
        <f>SUM(U13,-U22)</f>
        <v>0</v>
      </c>
      <c r="W24" s="88">
        <f>SUM(W13,-W22)</f>
        <v>0</v>
      </c>
      <c r="Z24" s="57"/>
      <c r="AB24" s="57"/>
      <c r="AD24" s="57"/>
      <c r="AE24" s="65"/>
      <c r="AF24" s="57"/>
      <c r="AG24" s="57"/>
      <c r="AH24" s="57"/>
      <c r="AI24" s="57"/>
      <c r="AJ24" s="57"/>
    </row>
    <row r="25" spans="1:36" ht="12.75" customHeight="1" x14ac:dyDescent="0.2">
      <c r="Z25" s="57"/>
      <c r="AB25" s="57"/>
      <c r="AD25" s="57"/>
      <c r="AF25" s="57"/>
      <c r="AG25" s="57"/>
      <c r="AH25" s="57"/>
      <c r="AI25" s="57"/>
      <c r="AJ25" s="57"/>
    </row>
    <row r="26" spans="1:36" ht="12.75" customHeight="1" x14ac:dyDescent="0.2">
      <c r="A26" s="70" t="s">
        <v>787</v>
      </c>
      <c r="C26" s="77">
        <v>0</v>
      </c>
      <c r="E26" s="77">
        <f>C30</f>
        <v>0</v>
      </c>
      <c r="G26" s="77">
        <f>E30</f>
        <v>0</v>
      </c>
      <c r="I26" s="77">
        <f>G30</f>
        <v>22183</v>
      </c>
      <c r="K26" s="77">
        <f>G30</f>
        <v>22183</v>
      </c>
      <c r="Q26" s="77">
        <f>G30</f>
        <v>22183</v>
      </c>
      <c r="W26" s="77">
        <f>Q30</f>
        <v>22183</v>
      </c>
      <c r="Z26" s="57"/>
      <c r="AB26" s="57"/>
      <c r="AD26" s="57"/>
      <c r="AF26" s="57"/>
      <c r="AG26" s="57"/>
      <c r="AH26" s="57"/>
      <c r="AI26" s="57"/>
      <c r="AJ26" s="57"/>
    </row>
    <row r="27" spans="1:36" ht="12.75" customHeight="1" x14ac:dyDescent="0.2">
      <c r="Z27" s="57"/>
      <c r="AB27" s="57"/>
      <c r="AD27" s="57"/>
      <c r="AF27" s="57"/>
      <c r="AG27" s="57"/>
      <c r="AH27" s="57"/>
      <c r="AI27" s="57"/>
      <c r="AJ27" s="57"/>
    </row>
    <row r="28" spans="1:36" ht="12.75" customHeight="1" x14ac:dyDescent="0.2">
      <c r="A28" s="70" t="s">
        <v>788</v>
      </c>
      <c r="C28" s="77">
        <f>-C10</f>
        <v>0</v>
      </c>
      <c r="E28" s="77">
        <f>-E10</f>
        <v>0</v>
      </c>
      <c r="G28" s="77">
        <f>-G10</f>
        <v>0</v>
      </c>
      <c r="I28" s="77">
        <f>-I10</f>
        <v>0</v>
      </c>
      <c r="K28" s="77">
        <f>-K10</f>
        <v>0</v>
      </c>
      <c r="Q28" s="77">
        <f>-Q10</f>
        <v>0</v>
      </c>
      <c r="W28" s="77">
        <f>-W10</f>
        <v>0</v>
      </c>
      <c r="Z28" s="57"/>
      <c r="AB28" s="57"/>
      <c r="AD28" s="57"/>
      <c r="AF28" s="57"/>
      <c r="AG28" s="57"/>
      <c r="AH28" s="57"/>
      <c r="AI28" s="57"/>
      <c r="AJ28" s="57"/>
    </row>
    <row r="29" spans="1:36" ht="12.75" customHeight="1" x14ac:dyDescent="0.2">
      <c r="Z29" s="57"/>
      <c r="AB29" s="57"/>
      <c r="AD29" s="57"/>
      <c r="AF29" s="57"/>
      <c r="AG29" s="57"/>
      <c r="AH29" s="57"/>
      <c r="AI29" s="57"/>
      <c r="AJ29" s="57"/>
    </row>
    <row r="30" spans="1:36" ht="12.75" customHeight="1" thickBot="1" x14ac:dyDescent="0.25">
      <c r="A30" s="67" t="s">
        <v>789</v>
      </c>
      <c r="C30" s="83">
        <f>SUM(C24,C26,C28)</f>
        <v>0</v>
      </c>
      <c r="E30" s="83">
        <f>SUM(E24,E26,E28)</f>
        <v>0</v>
      </c>
      <c r="G30" s="83">
        <f>SUM(G24,G26,G28)</f>
        <v>22183</v>
      </c>
      <c r="I30" s="83">
        <f>SUM(I24,I26,I28)</f>
        <v>22183</v>
      </c>
      <c r="K30" s="83">
        <f>SUM(K24,K26,K28)</f>
        <v>22183</v>
      </c>
      <c r="M30" s="88"/>
      <c r="O30" s="88"/>
      <c r="Q30" s="83">
        <f>SUM(Q24,Q26,Q28)</f>
        <v>22183</v>
      </c>
      <c r="S30" s="88"/>
      <c r="U30" s="88"/>
      <c r="W30" s="83">
        <f>SUM(W24,W26,W28)</f>
        <v>22183</v>
      </c>
      <c r="Z30" s="57"/>
      <c r="AB30" s="57"/>
      <c r="AD30" s="57"/>
      <c r="AE30" s="65"/>
      <c r="AF30" s="57"/>
      <c r="AG30" s="57"/>
      <c r="AH30" s="57"/>
      <c r="AI30" s="57"/>
      <c r="AJ30" s="57"/>
    </row>
    <row r="31" spans="1:36" ht="12.75" customHeight="1" thickTop="1" x14ac:dyDescent="0.2">
      <c r="Z31" s="57"/>
      <c r="AB31" s="57"/>
      <c r="AD31" s="57"/>
      <c r="AF31" s="57"/>
      <c r="AG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G32" s="57"/>
      <c r="AH32" s="57"/>
      <c r="AI32" s="57"/>
      <c r="AJ32" s="57"/>
    </row>
    <row r="33" spans="26:36" ht="12.75" customHeight="1" x14ac:dyDescent="0.2">
      <c r="Z33" s="57"/>
      <c r="AB33" s="57"/>
      <c r="AD33" s="57"/>
      <c r="AF33" s="57"/>
      <c r="AG33" s="57"/>
      <c r="AH33" s="57"/>
      <c r="AI33" s="57"/>
      <c r="AJ33" s="57"/>
    </row>
    <row r="34" spans="26:36" ht="12.75" customHeight="1" x14ac:dyDescent="0.2">
      <c r="Z34" s="57"/>
      <c r="AB34" s="57"/>
      <c r="AD34" s="57"/>
      <c r="AF34" s="57"/>
      <c r="AG34" s="57"/>
      <c r="AH34" s="57"/>
      <c r="AI34" s="57"/>
      <c r="AJ34" s="57"/>
    </row>
    <row r="35" spans="26:36" ht="12.75" customHeight="1" x14ac:dyDescent="0.2">
      <c r="Z35" s="57"/>
      <c r="AB35" s="57"/>
      <c r="AD35" s="57"/>
      <c r="AF35" s="57"/>
      <c r="AG35" s="57"/>
      <c r="AH35" s="57"/>
      <c r="AI35" s="57"/>
      <c r="AJ35" s="57"/>
    </row>
    <row r="36" spans="26:36" x14ac:dyDescent="0.2">
      <c r="Z36" s="57"/>
      <c r="AB36" s="57"/>
      <c r="AD36" s="57"/>
      <c r="AF36" s="57"/>
      <c r="AG36" s="57"/>
      <c r="AH36" s="57"/>
      <c r="AI36" s="57"/>
      <c r="AJ36" s="57"/>
    </row>
    <row r="37" spans="26:36" x14ac:dyDescent="0.2">
      <c r="Z37" s="57"/>
      <c r="AB37" s="57"/>
      <c r="AD37" s="57"/>
      <c r="AF37" s="57"/>
      <c r="AG37" s="57"/>
      <c r="AH37" s="57"/>
      <c r="AI37" s="57"/>
      <c r="AJ37" s="57"/>
    </row>
    <row r="38" spans="26:36" x14ac:dyDescent="0.2">
      <c r="Z38" s="57"/>
      <c r="AB38" s="57"/>
      <c r="AD38" s="57"/>
      <c r="AF38" s="57"/>
      <c r="AG38" s="57"/>
      <c r="AH38" s="57"/>
      <c r="AI38" s="57"/>
      <c r="AJ38" s="57"/>
    </row>
    <row r="39" spans="26:36" x14ac:dyDescent="0.2">
      <c r="Z39" s="57"/>
      <c r="AB39" s="57"/>
      <c r="AD39" s="57"/>
      <c r="AF39" s="57"/>
      <c r="AG39" s="57"/>
      <c r="AH39" s="57"/>
      <c r="AI39" s="57"/>
      <c r="AJ39" s="57"/>
    </row>
    <row r="40" spans="26:36" x14ac:dyDescent="0.2">
      <c r="Z40" s="57"/>
      <c r="AB40" s="57"/>
      <c r="AD40" s="57"/>
      <c r="AF40" s="57"/>
      <c r="AG40" s="57"/>
      <c r="AH40" s="57"/>
      <c r="AI40" s="57"/>
      <c r="AJ40" s="57"/>
    </row>
    <row r="41" spans="26:36" x14ac:dyDescent="0.2">
      <c r="Z41" s="57"/>
      <c r="AB41" s="57"/>
      <c r="AD41" s="57"/>
      <c r="AF41" s="57"/>
      <c r="AG41" s="57"/>
      <c r="AH41" s="57"/>
      <c r="AI41" s="57"/>
      <c r="AJ41" s="57"/>
    </row>
    <row r="42" spans="26:36" x14ac:dyDescent="0.2">
      <c r="Z42" s="57"/>
      <c r="AB42" s="57"/>
      <c r="AD42" s="57"/>
      <c r="AF42" s="57"/>
      <c r="AG42" s="57"/>
      <c r="AH42" s="57"/>
      <c r="AI42" s="57"/>
      <c r="AJ42" s="57"/>
    </row>
    <row r="43" spans="26:36" x14ac:dyDescent="0.2">
      <c r="Z43" s="57"/>
      <c r="AB43" s="57"/>
      <c r="AD43" s="57"/>
      <c r="AF43" s="57"/>
      <c r="AG43" s="57"/>
      <c r="AH43" s="57"/>
      <c r="AI43" s="57"/>
      <c r="AJ43" s="57"/>
    </row>
    <row r="44" spans="26:36" x14ac:dyDescent="0.2">
      <c r="Z44" s="57"/>
      <c r="AB44" s="57"/>
      <c r="AD44" s="57"/>
      <c r="AF44" s="57"/>
      <c r="AG44" s="57"/>
      <c r="AH44" s="57"/>
      <c r="AI44" s="57"/>
      <c r="AJ44" s="57"/>
    </row>
    <row r="45" spans="26:36" x14ac:dyDescent="0.2">
      <c r="Z45" s="57"/>
      <c r="AB45" s="57"/>
      <c r="AD45" s="57"/>
      <c r="AF45" s="57"/>
      <c r="AG45" s="57"/>
      <c r="AH45" s="57"/>
      <c r="AI45" s="57"/>
      <c r="AJ45" s="57"/>
    </row>
    <row r="46" spans="26:36" x14ac:dyDescent="0.2">
      <c r="Z46" s="57"/>
      <c r="AB46" s="57"/>
      <c r="AD46" s="57"/>
      <c r="AF46" s="57"/>
      <c r="AG46" s="57"/>
      <c r="AH46" s="57"/>
      <c r="AI46" s="57"/>
      <c r="AJ46" s="57"/>
    </row>
    <row r="47" spans="26:36" x14ac:dyDescent="0.2">
      <c r="Z47" s="57"/>
      <c r="AB47" s="57"/>
      <c r="AD47" s="57"/>
      <c r="AF47" s="57"/>
      <c r="AG47" s="57"/>
      <c r="AH47" s="57"/>
      <c r="AI47" s="57"/>
      <c r="AJ47" s="57"/>
    </row>
    <row r="48" spans="26:36" x14ac:dyDescent="0.2">
      <c r="Z48" s="57"/>
      <c r="AB48" s="57"/>
      <c r="AD48" s="57"/>
      <c r="AF48" s="57"/>
      <c r="AG48" s="57"/>
      <c r="AH48" s="57"/>
      <c r="AI48" s="57"/>
      <c r="AJ48" s="57"/>
    </row>
    <row r="49" spans="26:36" x14ac:dyDescent="0.2">
      <c r="Z49" s="57"/>
      <c r="AB49" s="57"/>
      <c r="AD49" s="57"/>
      <c r="AF49" s="57"/>
      <c r="AG49" s="57"/>
      <c r="AH49" s="57"/>
      <c r="AI49" s="57"/>
      <c r="AJ49" s="57"/>
    </row>
    <row r="50" spans="26:36" x14ac:dyDescent="0.2">
      <c r="Z50" s="57"/>
      <c r="AB50" s="57"/>
      <c r="AD50" s="57"/>
      <c r="AF50" s="57"/>
      <c r="AG50" s="57"/>
      <c r="AH50" s="57"/>
      <c r="AI50" s="57"/>
      <c r="AJ50" s="57"/>
    </row>
    <row r="51" spans="26:36" x14ac:dyDescent="0.2">
      <c r="Z51" s="57"/>
      <c r="AB51" s="57"/>
      <c r="AD51" s="57"/>
      <c r="AF51" s="57"/>
      <c r="AG51" s="57"/>
      <c r="AH51" s="57"/>
      <c r="AI51" s="57"/>
      <c r="AJ51" s="57"/>
    </row>
    <row r="52" spans="26:36" x14ac:dyDescent="0.2">
      <c r="Z52" s="57"/>
      <c r="AB52" s="57"/>
      <c r="AD52" s="57"/>
      <c r="AF52" s="57"/>
      <c r="AG52" s="57"/>
      <c r="AH52" s="57"/>
      <c r="AI52" s="57"/>
      <c r="AJ52" s="57"/>
    </row>
    <row r="53" spans="26:36" x14ac:dyDescent="0.2">
      <c r="Z53" s="57"/>
      <c r="AB53" s="57"/>
      <c r="AD53" s="57"/>
      <c r="AF53" s="57"/>
      <c r="AG53" s="57"/>
      <c r="AH53" s="57"/>
      <c r="AI53" s="57"/>
      <c r="AJ53" s="57"/>
    </row>
    <row r="54" spans="26:36" x14ac:dyDescent="0.2">
      <c r="Z54" s="57"/>
      <c r="AB54" s="57"/>
      <c r="AD54" s="57"/>
      <c r="AF54" s="57"/>
      <c r="AG54" s="57"/>
      <c r="AH54" s="57"/>
      <c r="AI54" s="57"/>
      <c r="AJ54" s="57"/>
    </row>
    <row r="55" spans="26:36" x14ac:dyDescent="0.2">
      <c r="Z55" s="57"/>
      <c r="AB55" s="57"/>
      <c r="AD55" s="57"/>
      <c r="AF55" s="57"/>
      <c r="AG55" s="57"/>
      <c r="AH55" s="57"/>
      <c r="AI55" s="57"/>
      <c r="AJ55" s="57"/>
    </row>
    <row r="56" spans="26:36" x14ac:dyDescent="0.2">
      <c r="Z56" s="57"/>
      <c r="AB56" s="57"/>
      <c r="AD56" s="57"/>
      <c r="AF56" s="57"/>
      <c r="AG56" s="57"/>
      <c r="AH56" s="57"/>
      <c r="AI56" s="57"/>
      <c r="AJ56" s="57"/>
    </row>
    <row r="57" spans="26:36" x14ac:dyDescent="0.2">
      <c r="Z57" s="57"/>
      <c r="AB57" s="57"/>
      <c r="AD57" s="57"/>
      <c r="AF57" s="57"/>
      <c r="AG57" s="57"/>
      <c r="AH57" s="57"/>
      <c r="AI57" s="57"/>
      <c r="AJ57" s="57"/>
    </row>
    <row r="58" spans="26:36" x14ac:dyDescent="0.2">
      <c r="Z58" s="57"/>
      <c r="AB58" s="57"/>
      <c r="AD58" s="57"/>
      <c r="AF58" s="57"/>
      <c r="AG58" s="57"/>
      <c r="AH58" s="57"/>
      <c r="AI58" s="57"/>
      <c r="AJ58" s="57"/>
    </row>
    <row r="59" spans="26:36" x14ac:dyDescent="0.2">
      <c r="Z59" s="57"/>
      <c r="AB59" s="57"/>
      <c r="AD59" s="57"/>
      <c r="AF59" s="57"/>
      <c r="AG59" s="57"/>
      <c r="AH59" s="57"/>
      <c r="AI59" s="57"/>
      <c r="AJ59" s="57"/>
    </row>
    <row r="60" spans="26:36" x14ac:dyDescent="0.2">
      <c r="Z60" s="57"/>
      <c r="AB60" s="57"/>
      <c r="AD60" s="57"/>
      <c r="AF60" s="57"/>
      <c r="AG60" s="57"/>
      <c r="AH60" s="57"/>
      <c r="AI60" s="57"/>
      <c r="AJ60" s="57"/>
    </row>
    <row r="61" spans="26:36" x14ac:dyDescent="0.2">
      <c r="Z61" s="57"/>
      <c r="AB61" s="57"/>
      <c r="AD61" s="57"/>
      <c r="AF61" s="57"/>
      <c r="AG61" s="57"/>
      <c r="AH61" s="57"/>
      <c r="AI61" s="57"/>
      <c r="AJ61" s="57"/>
    </row>
    <row r="62" spans="26:36" x14ac:dyDescent="0.2">
      <c r="Z62" s="57"/>
      <c r="AB62" s="57"/>
      <c r="AD62" s="57"/>
      <c r="AF62" s="57"/>
      <c r="AG62" s="57"/>
      <c r="AH62" s="57"/>
      <c r="AI62" s="57"/>
      <c r="AJ62" s="57"/>
    </row>
    <row r="63" spans="26:36" x14ac:dyDescent="0.2">
      <c r="Z63" s="57"/>
      <c r="AB63" s="57"/>
      <c r="AD63" s="57"/>
      <c r="AF63" s="57"/>
      <c r="AG63" s="57"/>
      <c r="AH63" s="57"/>
      <c r="AI63" s="57"/>
      <c r="AJ63" s="57"/>
    </row>
    <row r="64" spans="26:36" x14ac:dyDescent="0.2">
      <c r="Z64" s="57"/>
      <c r="AB64" s="57"/>
      <c r="AD64" s="57"/>
      <c r="AF64" s="57"/>
      <c r="AG64" s="57"/>
      <c r="AH64" s="57"/>
      <c r="AI64" s="57"/>
      <c r="AJ64" s="57"/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CA5D-FD50-4B58-9AE7-0A79F862B3BA}">
  <sheetPr>
    <tabColor rgb="FF92D050"/>
  </sheetPr>
  <dimension ref="A1:AJ6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56" customWidth="1"/>
    <col min="4" max="4" width="1.7109375" style="48" customWidth="1"/>
    <col min="5" max="5" width="11.7109375" style="56" customWidth="1"/>
    <col min="6" max="6" width="1.7109375" style="48" customWidth="1"/>
    <col min="7" max="7" width="11.7109375" style="56" customWidth="1"/>
    <col min="8" max="8" width="1.7109375" style="56" customWidth="1"/>
    <col min="9" max="9" width="11.7109375" style="56" customWidth="1"/>
    <col min="10" max="10" width="1.7109375" style="56" customWidth="1"/>
    <col min="11" max="11" width="11.7109375" style="56" customWidth="1"/>
    <col min="12" max="12" width="1.7109375" style="56" customWidth="1"/>
    <col min="13" max="13" width="11.7109375" style="56" customWidth="1"/>
    <col min="14" max="14" width="1.7109375" style="56" customWidth="1"/>
    <col min="15" max="15" width="11.7109375" style="56" customWidth="1"/>
    <col min="16" max="16" width="1.7109375" style="56" customWidth="1"/>
    <col min="17" max="17" width="11.7109375" style="56" customWidth="1"/>
    <col min="18" max="18" width="1.7109375" style="56" customWidth="1"/>
    <col min="19" max="19" width="11.7109375" style="56" customWidth="1"/>
    <col min="20" max="20" width="1.7109375" style="56" customWidth="1"/>
    <col min="21" max="21" width="11.7109375" style="56" customWidth="1"/>
    <col min="22" max="22" width="1.7109375" style="56" customWidth="1"/>
    <col min="23" max="23" width="11.7109375" style="56" customWidth="1"/>
    <col min="24" max="24" width="1.7109375" style="56" customWidth="1"/>
    <col min="25" max="25" width="11.7109375" style="56" customWidth="1"/>
    <col min="26" max="26" width="1.7109375" style="56" customWidth="1"/>
    <col min="27" max="27" width="11.7109375" style="56" customWidth="1"/>
    <col min="28" max="28" width="1.7109375" style="56" customWidth="1"/>
    <col min="29" max="29" width="11.7109375" style="56" customWidth="1"/>
    <col min="30" max="30" width="1.7109375" style="56" customWidth="1"/>
    <col min="31" max="31" width="11.7109375" style="56" customWidth="1"/>
    <col min="32" max="32" width="1.7109375" style="56" customWidth="1"/>
    <col min="33" max="16384" width="9.140625" style="56"/>
  </cols>
  <sheetData>
    <row r="1" spans="1:36" s="46" customFormat="1" ht="12.75" customHeight="1" x14ac:dyDescent="0.2">
      <c r="A1" s="67"/>
      <c r="C1" s="49"/>
      <c r="D1" s="48"/>
      <c r="E1" s="49"/>
      <c r="F1" s="48"/>
      <c r="G1" s="49"/>
      <c r="H1" s="48"/>
      <c r="I1" s="49" t="s">
        <v>4</v>
      </c>
      <c r="J1" s="48"/>
      <c r="K1" s="49" t="s">
        <v>4</v>
      </c>
      <c r="L1" s="48"/>
      <c r="M1" s="47" t="s">
        <v>4</v>
      </c>
      <c r="N1" s="48"/>
      <c r="O1" s="47" t="s">
        <v>4</v>
      </c>
      <c r="P1" s="48"/>
      <c r="Q1" s="49" t="s">
        <v>4</v>
      </c>
      <c r="R1" s="48"/>
      <c r="S1" s="47" t="s">
        <v>10</v>
      </c>
      <c r="T1" s="48"/>
      <c r="U1" s="47" t="s">
        <v>10</v>
      </c>
      <c r="V1" s="48"/>
      <c r="W1" s="49" t="s">
        <v>10</v>
      </c>
      <c r="X1" s="48"/>
      <c r="Y1" s="47" t="s">
        <v>1067</v>
      </c>
      <c r="Z1" s="48"/>
      <c r="AA1" s="47" t="s">
        <v>1070</v>
      </c>
      <c r="AC1" s="47" t="s">
        <v>1067</v>
      </c>
      <c r="AE1" s="47" t="s">
        <v>1070</v>
      </c>
      <c r="AF1" s="48"/>
    </row>
    <row r="2" spans="1:36" s="46" customFormat="1" ht="12.75" customHeight="1" x14ac:dyDescent="0.2">
      <c r="A2" s="67"/>
      <c r="C2" s="49" t="s">
        <v>0</v>
      </c>
      <c r="D2" s="48"/>
      <c r="E2" s="49" t="s">
        <v>1</v>
      </c>
      <c r="F2" s="48"/>
      <c r="G2" s="49" t="s">
        <v>3</v>
      </c>
      <c r="H2" s="48"/>
      <c r="I2" s="49" t="s">
        <v>5</v>
      </c>
      <c r="J2" s="48"/>
      <c r="K2" s="49" t="s">
        <v>7</v>
      </c>
      <c r="L2" s="48"/>
      <c r="M2" s="47" t="s">
        <v>1527</v>
      </c>
      <c r="N2" s="48"/>
      <c r="O2" s="47" t="s">
        <v>590</v>
      </c>
      <c r="P2" s="48"/>
      <c r="Q2" s="49" t="s">
        <v>8</v>
      </c>
      <c r="R2" s="48"/>
      <c r="S2" s="47" t="s">
        <v>11</v>
      </c>
      <c r="T2" s="48"/>
      <c r="U2" s="47" t="s">
        <v>11</v>
      </c>
      <c r="V2" s="48"/>
      <c r="W2" s="49" t="s">
        <v>11</v>
      </c>
      <c r="X2" s="48"/>
      <c r="Y2" s="47" t="s">
        <v>1068</v>
      </c>
      <c r="Z2" s="48"/>
      <c r="AA2" s="47" t="s">
        <v>1068</v>
      </c>
      <c r="AC2" s="47" t="s">
        <v>1068</v>
      </c>
      <c r="AE2" s="47" t="s">
        <v>1068</v>
      </c>
      <c r="AF2" s="48"/>
    </row>
    <row r="3" spans="1:36" s="46" customFormat="1" ht="12.75" customHeight="1" x14ac:dyDescent="0.2">
      <c r="A3" s="67"/>
      <c r="C3" s="49" t="s">
        <v>2</v>
      </c>
      <c r="D3" s="48"/>
      <c r="E3" s="49" t="s">
        <v>2</v>
      </c>
      <c r="F3" s="48"/>
      <c r="G3" s="49" t="s">
        <v>2</v>
      </c>
      <c r="H3" s="48"/>
      <c r="I3" s="49" t="s">
        <v>6</v>
      </c>
      <c r="J3" s="48"/>
      <c r="K3" s="49" t="s">
        <v>6</v>
      </c>
      <c r="L3" s="48"/>
      <c r="M3" s="47" t="s">
        <v>589</v>
      </c>
      <c r="N3" s="48"/>
      <c r="O3" s="47" t="s">
        <v>8</v>
      </c>
      <c r="P3" s="48"/>
      <c r="Q3" s="49" t="s">
        <v>9</v>
      </c>
      <c r="R3" s="48"/>
      <c r="S3" s="47" t="s">
        <v>945</v>
      </c>
      <c r="T3" s="48"/>
      <c r="U3" s="47" t="s">
        <v>946</v>
      </c>
      <c r="V3" s="48"/>
      <c r="W3" s="49" t="s">
        <v>6</v>
      </c>
      <c r="X3" s="48"/>
      <c r="Y3" s="47" t="s">
        <v>1069</v>
      </c>
      <c r="Z3" s="48"/>
      <c r="AA3" s="47" t="s">
        <v>1069</v>
      </c>
      <c r="AC3" s="47" t="s">
        <v>1071</v>
      </c>
      <c r="AE3" s="47" t="s">
        <v>1071</v>
      </c>
      <c r="AF3" s="48"/>
    </row>
    <row r="4" spans="1:36" s="51" customFormat="1" ht="12.75" customHeight="1" x14ac:dyDescent="0.2">
      <c r="A4" s="67" t="s">
        <v>1412</v>
      </c>
      <c r="C4" s="52"/>
      <c r="D4" s="53"/>
      <c r="E4" s="52"/>
      <c r="F4" s="5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1:36" s="51" customFormat="1" ht="12.75" customHeight="1" x14ac:dyDescent="0.2">
      <c r="A5" s="54" t="s">
        <v>1346</v>
      </c>
      <c r="C5" s="52"/>
      <c r="D5" s="53"/>
      <c r="E5" s="52"/>
      <c r="F5" s="53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1:36" ht="12.75" customHeight="1" x14ac:dyDescent="0.2">
      <c r="A6" s="55" t="s">
        <v>1413</v>
      </c>
      <c r="B6" s="56" t="s">
        <v>1132</v>
      </c>
      <c r="C6" s="77">
        <v>0</v>
      </c>
      <c r="D6" s="78"/>
      <c r="E6" s="77">
        <v>0</v>
      </c>
      <c r="F6" s="78"/>
      <c r="G6" s="77">
        <v>0</v>
      </c>
      <c r="H6" s="77"/>
      <c r="I6" s="77">
        <v>0</v>
      </c>
      <c r="J6" s="77"/>
      <c r="K6" s="77">
        <v>0</v>
      </c>
      <c r="L6" s="77"/>
      <c r="M6" s="77">
        <v>0</v>
      </c>
      <c r="N6" s="77"/>
      <c r="O6" s="77">
        <f>PRODUCT(M6,0/12)</f>
        <v>0</v>
      </c>
      <c r="P6" s="77"/>
      <c r="Q6" s="77">
        <f>SUM(M6,O6)</f>
        <v>0</v>
      </c>
      <c r="R6" s="77"/>
      <c r="S6" s="77">
        <v>0</v>
      </c>
      <c r="T6" s="77"/>
      <c r="U6" s="77">
        <v>0</v>
      </c>
      <c r="V6" s="77"/>
      <c r="W6" s="77">
        <v>200000</v>
      </c>
      <c r="X6" s="77"/>
      <c r="Y6" s="77">
        <f>SUM(W6,-I6)</f>
        <v>200000</v>
      </c>
      <c r="Z6" s="57"/>
      <c r="AA6" s="58" t="e">
        <f>IF(W6=0,"N/A",PRODUCT(Y6,1/I6))</f>
        <v>#DIV/0!</v>
      </c>
      <c r="AB6" s="57"/>
      <c r="AC6" s="77">
        <f>SUM(W6,-Q6)</f>
        <v>200000</v>
      </c>
      <c r="AD6" s="57"/>
      <c r="AE6" s="58" t="e">
        <f>IF(W6=0,"N/A",PRODUCT(AC6,1/Q6))</f>
        <v>#DIV/0!</v>
      </c>
      <c r="AF6" s="57"/>
      <c r="AG6" s="57"/>
      <c r="AH6" s="57"/>
      <c r="AI6" s="57"/>
      <c r="AJ6" s="57"/>
    </row>
    <row r="7" spans="1:36" ht="12.75" customHeight="1" x14ac:dyDescent="0.2">
      <c r="A7" s="59" t="s">
        <v>1414</v>
      </c>
      <c r="B7" s="60" t="s">
        <v>1142</v>
      </c>
      <c r="C7" s="79">
        <v>0</v>
      </c>
      <c r="D7" s="80"/>
      <c r="E7" s="79">
        <v>0</v>
      </c>
      <c r="F7" s="80"/>
      <c r="G7" s="79">
        <v>0</v>
      </c>
      <c r="H7" s="79"/>
      <c r="I7" s="79">
        <v>0</v>
      </c>
      <c r="J7" s="79"/>
      <c r="K7" s="79">
        <v>0</v>
      </c>
      <c r="L7" s="79"/>
      <c r="M7" s="79">
        <v>0</v>
      </c>
      <c r="N7" s="79"/>
      <c r="O7" s="79">
        <f>PRODUCT(M7,0/12)</f>
        <v>0</v>
      </c>
      <c r="P7" s="79"/>
      <c r="Q7" s="79">
        <f>SUM(M7,O7)</f>
        <v>0</v>
      </c>
      <c r="R7" s="79"/>
      <c r="S7" s="79">
        <v>0</v>
      </c>
      <c r="T7" s="79"/>
      <c r="U7" s="79">
        <v>0</v>
      </c>
      <c r="V7" s="79"/>
      <c r="W7" s="79">
        <v>0</v>
      </c>
      <c r="X7" s="79"/>
      <c r="Y7" s="79">
        <f>SUM(W7,-I7)</f>
        <v>0</v>
      </c>
      <c r="Z7" s="62"/>
      <c r="AA7" s="63" t="str">
        <f>IF(W7=0,"N/A",PRODUCT(Y7,1/I7))</f>
        <v>N/A</v>
      </c>
      <c r="AB7" s="62"/>
      <c r="AC7" s="79">
        <f>SUM(W7,-Q7)</f>
        <v>0</v>
      </c>
      <c r="AD7" s="62"/>
      <c r="AE7" s="63" t="str">
        <f>IF(W7=0,"N/A",PRODUCT(AC7,1/Q7))</f>
        <v>N/A</v>
      </c>
      <c r="AF7" s="57"/>
      <c r="AG7" s="57"/>
      <c r="AH7" s="57"/>
      <c r="AI7" s="57"/>
      <c r="AJ7" s="57"/>
    </row>
    <row r="8" spans="1:36" ht="12.75" customHeight="1" x14ac:dyDescent="0.2">
      <c r="A8" s="64" t="s">
        <v>1347</v>
      </c>
      <c r="C8" s="81">
        <f>SUM(C6:C7)</f>
        <v>0</v>
      </c>
      <c r="D8" s="78"/>
      <c r="E8" s="81">
        <f>SUM(E6:E7)</f>
        <v>0</v>
      </c>
      <c r="F8" s="78"/>
      <c r="G8" s="81">
        <f>SUM(G6:G7)</f>
        <v>0</v>
      </c>
      <c r="H8" s="77"/>
      <c r="I8" s="81">
        <f>SUM(I6:I7)</f>
        <v>0</v>
      </c>
      <c r="J8" s="77"/>
      <c r="K8" s="81">
        <f>SUM(K6:K7)</f>
        <v>0</v>
      </c>
      <c r="L8" s="77"/>
      <c r="M8" s="81">
        <f>SUM(M6:M7)</f>
        <v>0</v>
      </c>
      <c r="N8" s="77"/>
      <c r="O8" s="81">
        <f>SUM(O6:O7)</f>
        <v>0</v>
      </c>
      <c r="P8" s="77"/>
      <c r="Q8" s="81">
        <f>SUM(Q6:Q7)</f>
        <v>0</v>
      </c>
      <c r="R8" s="77"/>
      <c r="S8" s="81">
        <f>SUM(S6:S7)</f>
        <v>0</v>
      </c>
      <c r="T8" s="77"/>
      <c r="U8" s="81">
        <f>SUM(U6:U7)</f>
        <v>0</v>
      </c>
      <c r="V8" s="77"/>
      <c r="W8" s="81">
        <f>SUM(W6:W7)</f>
        <v>200000</v>
      </c>
      <c r="X8" s="77"/>
      <c r="Y8" s="81">
        <f>SUM(Y6:Y7)</f>
        <v>200000</v>
      </c>
      <c r="Z8" s="57"/>
      <c r="AA8" s="65" t="e">
        <f>IF(W8=0,"N/A",PRODUCT(Y8,1/I8))</f>
        <v>#DIV/0!</v>
      </c>
      <c r="AB8" s="57"/>
      <c r="AC8" s="81">
        <f>SUM(AC6:AC7)</f>
        <v>200000</v>
      </c>
      <c r="AD8" s="57"/>
      <c r="AE8" s="65" t="e">
        <f>IF(W8=0,"N/A",PRODUCT(AC8,1/Q8))</f>
        <v>#DIV/0!</v>
      </c>
      <c r="AF8" s="57"/>
      <c r="AG8" s="57"/>
      <c r="AH8" s="57"/>
      <c r="AI8" s="57"/>
      <c r="AJ8" s="57"/>
    </row>
    <row r="9" spans="1:36" ht="12.75" customHeight="1" x14ac:dyDescent="0.2">
      <c r="C9" s="77"/>
      <c r="D9" s="78"/>
      <c r="E9" s="77"/>
      <c r="F9" s="78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57"/>
      <c r="AA9" s="58"/>
      <c r="AB9" s="57"/>
      <c r="AC9" s="77"/>
      <c r="AD9" s="57"/>
      <c r="AE9" s="58"/>
      <c r="AF9" s="57"/>
      <c r="AG9" s="57"/>
      <c r="AH9" s="57"/>
      <c r="AI9" s="57"/>
      <c r="AJ9" s="57"/>
    </row>
    <row r="10" spans="1:36" ht="12.75" customHeight="1" thickBot="1" x14ac:dyDescent="0.25">
      <c r="A10" s="67" t="s">
        <v>1415</v>
      </c>
      <c r="C10" s="83">
        <f>SUM(C8)</f>
        <v>0</v>
      </c>
      <c r="D10" s="78"/>
      <c r="E10" s="83">
        <f>SUM(E8)</f>
        <v>0</v>
      </c>
      <c r="F10" s="78"/>
      <c r="G10" s="83">
        <f>SUM(G8)</f>
        <v>0</v>
      </c>
      <c r="H10" s="77"/>
      <c r="I10" s="83">
        <f>SUM(I8)</f>
        <v>0</v>
      </c>
      <c r="J10" s="77"/>
      <c r="K10" s="83">
        <f>SUM(K8)</f>
        <v>0</v>
      </c>
      <c r="L10" s="77"/>
      <c r="M10" s="82">
        <f>SUM(M8)</f>
        <v>0</v>
      </c>
      <c r="N10" s="77"/>
      <c r="O10" s="82">
        <f>SUM(O8)</f>
        <v>0</v>
      </c>
      <c r="P10" s="77"/>
      <c r="Q10" s="83">
        <f>SUM(Q8)</f>
        <v>0</v>
      </c>
      <c r="R10" s="77"/>
      <c r="S10" s="82">
        <f>SUM(S8)</f>
        <v>0</v>
      </c>
      <c r="T10" s="77"/>
      <c r="U10" s="82">
        <f>SUM(U8)</f>
        <v>0</v>
      </c>
      <c r="V10" s="77"/>
      <c r="W10" s="83">
        <f>SUM(W8)</f>
        <v>200000</v>
      </c>
      <c r="X10" s="77"/>
      <c r="Y10" s="82">
        <f>SUM(Y8)</f>
        <v>200000</v>
      </c>
      <c r="Z10" s="57"/>
      <c r="AA10" s="125" t="e">
        <f>IF(W10=0,"N/A",PRODUCT(Y10,1/I10))</f>
        <v>#DIV/0!</v>
      </c>
      <c r="AB10" s="57"/>
      <c r="AC10" s="82">
        <f>SUM(AC8)</f>
        <v>200000</v>
      </c>
      <c r="AD10" s="57"/>
      <c r="AE10" s="125" t="e">
        <f>IF(W10=0,"N/A",PRODUCT(AC10,1/Q10))</f>
        <v>#DIV/0!</v>
      </c>
      <c r="AF10" s="57"/>
      <c r="AG10" s="57"/>
      <c r="AH10" s="57"/>
      <c r="AI10" s="57"/>
      <c r="AJ10" s="57"/>
    </row>
    <row r="11" spans="1:36" ht="12.75" customHeight="1" thickTop="1" x14ac:dyDescent="0.2">
      <c r="C11" s="77"/>
      <c r="D11" s="78"/>
      <c r="E11" s="77"/>
      <c r="F11" s="78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57"/>
      <c r="AA11" s="58"/>
      <c r="AB11" s="57"/>
      <c r="AC11" s="77"/>
      <c r="AD11" s="57"/>
      <c r="AE11" s="58"/>
      <c r="AF11" s="57"/>
      <c r="AG11" s="57"/>
      <c r="AH11" s="57"/>
      <c r="AI11" s="57"/>
      <c r="AJ11" s="57"/>
    </row>
    <row r="12" spans="1:36" ht="12.75" customHeight="1" x14ac:dyDescent="0.2">
      <c r="C12" s="77"/>
      <c r="D12" s="78"/>
      <c r="E12" s="77"/>
      <c r="F12" s="78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57"/>
      <c r="AA12" s="58"/>
      <c r="AB12" s="57"/>
      <c r="AC12" s="77"/>
      <c r="AD12" s="57"/>
      <c r="AE12" s="58"/>
      <c r="AF12" s="57"/>
      <c r="AG12" s="57"/>
      <c r="AH12" s="57"/>
      <c r="AI12" s="57"/>
      <c r="AJ12" s="57"/>
    </row>
    <row r="13" spans="1:36" ht="12.75" customHeight="1" x14ac:dyDescent="0.2">
      <c r="C13" s="77"/>
      <c r="D13" s="78"/>
      <c r="E13" s="77"/>
      <c r="F13" s="78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57"/>
      <c r="AA13" s="58"/>
      <c r="AB13" s="57"/>
      <c r="AC13" s="77"/>
      <c r="AD13" s="57"/>
      <c r="AE13" s="58"/>
      <c r="AF13" s="57"/>
      <c r="AG13" s="57"/>
      <c r="AH13" s="57"/>
      <c r="AI13" s="57"/>
      <c r="AJ13" s="57"/>
    </row>
    <row r="14" spans="1:36" ht="12.75" customHeight="1" x14ac:dyDescent="0.2">
      <c r="A14" s="67" t="s">
        <v>1416</v>
      </c>
      <c r="C14" s="77"/>
      <c r="D14" s="78"/>
      <c r="E14" s="77"/>
      <c r="F14" s="78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57"/>
      <c r="AA14" s="58"/>
      <c r="AB14" s="57"/>
      <c r="AC14" s="77"/>
      <c r="AD14" s="57"/>
      <c r="AE14" s="58"/>
      <c r="AF14" s="57"/>
      <c r="AG14" s="57"/>
      <c r="AH14" s="57"/>
      <c r="AI14" s="57"/>
      <c r="AJ14" s="57"/>
    </row>
    <row r="15" spans="1:36" ht="12.75" customHeight="1" x14ac:dyDescent="0.2">
      <c r="A15" s="54" t="s">
        <v>388</v>
      </c>
      <c r="C15" s="77"/>
      <c r="D15" s="78"/>
      <c r="E15" s="77"/>
      <c r="F15" s="78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57"/>
      <c r="AA15" s="58"/>
      <c r="AB15" s="57"/>
      <c r="AC15" s="77"/>
      <c r="AD15" s="57"/>
      <c r="AE15" s="58"/>
      <c r="AF15" s="57"/>
      <c r="AG15" s="57"/>
      <c r="AH15" s="57"/>
      <c r="AI15" s="57"/>
      <c r="AJ15" s="57"/>
    </row>
    <row r="16" spans="1:36" ht="12.75" customHeight="1" x14ac:dyDescent="0.2">
      <c r="A16" s="55" t="s">
        <v>1418</v>
      </c>
      <c r="B16" s="56" t="s">
        <v>240</v>
      </c>
      <c r="C16" s="77">
        <v>0</v>
      </c>
      <c r="D16" s="78"/>
      <c r="E16" s="77">
        <v>0</v>
      </c>
      <c r="F16" s="78"/>
      <c r="G16" s="77">
        <v>0</v>
      </c>
      <c r="H16" s="77"/>
      <c r="I16" s="77">
        <v>0</v>
      </c>
      <c r="J16" s="77"/>
      <c r="K16" s="77">
        <v>0</v>
      </c>
      <c r="L16" s="77"/>
      <c r="M16" s="77">
        <v>0</v>
      </c>
      <c r="N16" s="77"/>
      <c r="O16" s="77">
        <f>PRODUCT(M16,0/12)</f>
        <v>0</v>
      </c>
      <c r="P16" s="77"/>
      <c r="Q16" s="77">
        <f>SUM(M16,O16)</f>
        <v>0</v>
      </c>
      <c r="R16" s="77"/>
      <c r="S16" s="77">
        <v>0</v>
      </c>
      <c r="T16" s="77"/>
      <c r="U16" s="77">
        <v>0</v>
      </c>
      <c r="V16" s="77"/>
      <c r="W16" s="77">
        <v>0</v>
      </c>
      <c r="X16" s="77"/>
      <c r="Y16" s="77">
        <f>SUM(W16,-I16)</f>
        <v>0</v>
      </c>
      <c r="Z16" s="57"/>
      <c r="AA16" s="58" t="str">
        <f>IF(W16=0,"N/A",PRODUCT(Y16,1/I16))</f>
        <v>N/A</v>
      </c>
      <c r="AB16" s="57"/>
      <c r="AC16" s="77">
        <f>SUM(W16,-Q16)</f>
        <v>0</v>
      </c>
      <c r="AD16" s="57"/>
      <c r="AE16" s="58" t="str">
        <f>IF(W16=0,"N/A",PRODUCT(AC16,1/Q16))</f>
        <v>N/A</v>
      </c>
      <c r="AF16" s="57"/>
      <c r="AG16" s="57"/>
      <c r="AH16" s="57"/>
      <c r="AI16" s="57"/>
      <c r="AJ16" s="57"/>
    </row>
    <row r="17" spans="1:36" ht="12.75" customHeight="1" x14ac:dyDescent="0.2">
      <c r="A17" s="59" t="s">
        <v>1417</v>
      </c>
      <c r="B17" s="60" t="s">
        <v>241</v>
      </c>
      <c r="C17" s="79">
        <v>0</v>
      </c>
      <c r="D17" s="80"/>
      <c r="E17" s="79">
        <v>0</v>
      </c>
      <c r="F17" s="80"/>
      <c r="G17" s="79">
        <v>0</v>
      </c>
      <c r="H17" s="79"/>
      <c r="I17" s="79">
        <v>0</v>
      </c>
      <c r="J17" s="79"/>
      <c r="K17" s="79">
        <v>0</v>
      </c>
      <c r="L17" s="79"/>
      <c r="M17" s="79">
        <v>0</v>
      </c>
      <c r="N17" s="79"/>
      <c r="O17" s="79">
        <f>PRODUCT(M17,0/12)</f>
        <v>0</v>
      </c>
      <c r="P17" s="79"/>
      <c r="Q17" s="79">
        <f>SUM(M17,O17)</f>
        <v>0</v>
      </c>
      <c r="R17" s="79"/>
      <c r="S17" s="79">
        <v>0</v>
      </c>
      <c r="T17" s="79"/>
      <c r="U17" s="79">
        <v>0</v>
      </c>
      <c r="V17" s="79"/>
      <c r="W17" s="79">
        <v>0</v>
      </c>
      <c r="X17" s="79"/>
      <c r="Y17" s="79">
        <f>SUM(W17,-I17)</f>
        <v>0</v>
      </c>
      <c r="Z17" s="62"/>
      <c r="AA17" s="63" t="str">
        <f>IF(W17=0,"N/A",PRODUCT(Y17,1/I17))</f>
        <v>N/A</v>
      </c>
      <c r="AB17" s="62"/>
      <c r="AC17" s="79">
        <f>SUM(W17,-Q17)</f>
        <v>0</v>
      </c>
      <c r="AD17" s="62"/>
      <c r="AE17" s="63" t="str">
        <f>IF(W17=0,"N/A",PRODUCT(AC17,1/Q17))</f>
        <v>N/A</v>
      </c>
      <c r="AF17" s="57"/>
      <c r="AG17" s="57"/>
      <c r="AH17" s="57"/>
      <c r="AI17" s="57"/>
      <c r="AJ17" s="57"/>
    </row>
    <row r="18" spans="1:36" ht="12.75" customHeight="1" x14ac:dyDescent="0.2">
      <c r="A18" s="64" t="s">
        <v>459</v>
      </c>
      <c r="C18" s="81">
        <f>SUM(C16:C17)</f>
        <v>0</v>
      </c>
      <c r="D18" s="78"/>
      <c r="E18" s="81">
        <f>SUM(E16:E17)</f>
        <v>0</v>
      </c>
      <c r="F18" s="78"/>
      <c r="G18" s="81">
        <f>SUM(G16:G17)</f>
        <v>0</v>
      </c>
      <c r="H18" s="77"/>
      <c r="I18" s="81">
        <f>SUM(I16:I17)</f>
        <v>0</v>
      </c>
      <c r="J18" s="77"/>
      <c r="K18" s="81">
        <f>SUM(K16:K17)</f>
        <v>0</v>
      </c>
      <c r="L18" s="77"/>
      <c r="M18" s="81">
        <f>SUM(M16:M17)</f>
        <v>0</v>
      </c>
      <c r="N18" s="77"/>
      <c r="O18" s="81">
        <f>SUM(O16:O17)</f>
        <v>0</v>
      </c>
      <c r="P18" s="77"/>
      <c r="Q18" s="81">
        <f>SUM(Q16:Q17)</f>
        <v>0</v>
      </c>
      <c r="R18" s="77"/>
      <c r="S18" s="81">
        <f>SUM(S16:S17)</f>
        <v>0</v>
      </c>
      <c r="T18" s="77"/>
      <c r="U18" s="81">
        <f>SUM(U16:U17)</f>
        <v>0</v>
      </c>
      <c r="V18" s="77"/>
      <c r="W18" s="81">
        <f>SUM(W16:W17)</f>
        <v>0</v>
      </c>
      <c r="X18" s="77"/>
      <c r="Y18" s="81">
        <f>SUM(Y16:Y17)</f>
        <v>0</v>
      </c>
      <c r="Z18" s="57"/>
      <c r="AA18" s="65" t="str">
        <f>IF(W18=0,"N/A",PRODUCT(Y18,1/I18))</f>
        <v>N/A</v>
      </c>
      <c r="AB18" s="57"/>
      <c r="AC18" s="81">
        <f>SUM(AC16:AC17)</f>
        <v>0</v>
      </c>
      <c r="AD18" s="57"/>
      <c r="AE18" s="65" t="str">
        <f>IF(W18=0,"N/A",PRODUCT(AC18,1/Q18))</f>
        <v>N/A</v>
      </c>
      <c r="AF18" s="57"/>
      <c r="AG18" s="57"/>
      <c r="AH18" s="57"/>
      <c r="AI18" s="57"/>
      <c r="AJ18" s="57"/>
    </row>
    <row r="19" spans="1:36" ht="12.75" customHeight="1" x14ac:dyDescent="0.2">
      <c r="C19" s="77"/>
      <c r="D19" s="78"/>
      <c r="E19" s="77"/>
      <c r="F19" s="78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57"/>
      <c r="AA19" s="58"/>
      <c r="AB19" s="57"/>
      <c r="AC19" s="77"/>
      <c r="AD19" s="57"/>
      <c r="AE19" s="58"/>
      <c r="AF19" s="57"/>
      <c r="AG19" s="57"/>
      <c r="AH19" s="57"/>
      <c r="AI19" s="57"/>
      <c r="AJ19" s="57"/>
    </row>
    <row r="20" spans="1:36" ht="12.75" customHeight="1" x14ac:dyDescent="0.2">
      <c r="A20" s="54" t="s">
        <v>1366</v>
      </c>
      <c r="C20" s="77"/>
      <c r="D20" s="78"/>
      <c r="E20" s="77"/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57"/>
      <c r="AA20" s="58"/>
      <c r="AB20" s="57"/>
      <c r="AC20" s="77"/>
      <c r="AD20" s="57"/>
      <c r="AE20" s="58"/>
      <c r="AF20" s="57"/>
      <c r="AG20" s="57"/>
      <c r="AH20" s="57"/>
      <c r="AI20" s="57"/>
      <c r="AJ20" s="57"/>
    </row>
    <row r="21" spans="1:36" ht="12.75" customHeight="1" x14ac:dyDescent="0.2">
      <c r="A21" s="59" t="s">
        <v>1431</v>
      </c>
      <c r="B21" s="60" t="s">
        <v>1154</v>
      </c>
      <c r="C21" s="79">
        <v>0</v>
      </c>
      <c r="D21" s="80"/>
      <c r="E21" s="79">
        <v>0</v>
      </c>
      <c r="F21" s="80"/>
      <c r="G21" s="79">
        <v>0</v>
      </c>
      <c r="H21" s="79"/>
      <c r="I21" s="79">
        <v>0</v>
      </c>
      <c r="J21" s="79"/>
      <c r="K21" s="79">
        <v>0</v>
      </c>
      <c r="L21" s="79"/>
      <c r="M21" s="79">
        <v>0</v>
      </c>
      <c r="N21" s="79"/>
      <c r="O21" s="79">
        <f>PRODUCT(M21,0/12)</f>
        <v>0</v>
      </c>
      <c r="P21" s="79"/>
      <c r="Q21" s="79">
        <f>SUM(M21,O21)</f>
        <v>0</v>
      </c>
      <c r="R21" s="79"/>
      <c r="S21" s="79">
        <v>0</v>
      </c>
      <c r="T21" s="79"/>
      <c r="U21" s="79">
        <v>0</v>
      </c>
      <c r="V21" s="79"/>
      <c r="W21" s="79">
        <v>200000</v>
      </c>
      <c r="X21" s="79"/>
      <c r="Y21" s="79">
        <f>SUM(W21,-I21)</f>
        <v>200000</v>
      </c>
      <c r="Z21" s="62"/>
      <c r="AA21" s="63" t="e">
        <f>IF(W21=0,"N/A",PRODUCT(Y21,1/I21))</f>
        <v>#DIV/0!</v>
      </c>
      <c r="AB21" s="62"/>
      <c r="AC21" s="79">
        <f>SUM(W21,-Q21)</f>
        <v>200000</v>
      </c>
      <c r="AD21" s="62"/>
      <c r="AE21" s="63" t="e">
        <f>IF(W21=0,"N/A",PRODUCT(AC21,1/Q21))</f>
        <v>#DIV/0!</v>
      </c>
      <c r="AF21" s="57"/>
      <c r="AG21" s="57"/>
      <c r="AH21" s="57"/>
      <c r="AI21" s="57"/>
      <c r="AJ21" s="57"/>
    </row>
    <row r="22" spans="1:36" ht="12.75" customHeight="1" x14ac:dyDescent="0.2">
      <c r="A22" s="64" t="s">
        <v>1367</v>
      </c>
      <c r="C22" s="81">
        <f>SUM(C21:C21)</f>
        <v>0</v>
      </c>
      <c r="D22" s="78"/>
      <c r="E22" s="81">
        <f>SUM(E21:E21)</f>
        <v>0</v>
      </c>
      <c r="F22" s="78"/>
      <c r="G22" s="81">
        <f>SUM(G21:G21)</f>
        <v>0</v>
      </c>
      <c r="H22" s="77"/>
      <c r="I22" s="81">
        <f>SUM(I21:I21)</f>
        <v>0</v>
      </c>
      <c r="J22" s="77"/>
      <c r="K22" s="81">
        <f>SUM(K21:K21)</f>
        <v>0</v>
      </c>
      <c r="L22" s="77"/>
      <c r="M22" s="81">
        <f>SUM(M21:M21)</f>
        <v>0</v>
      </c>
      <c r="N22" s="77"/>
      <c r="O22" s="81">
        <f>SUM(O21:O21)</f>
        <v>0</v>
      </c>
      <c r="P22" s="77"/>
      <c r="Q22" s="81">
        <f>SUM(Q21:Q21)</f>
        <v>0</v>
      </c>
      <c r="R22" s="77"/>
      <c r="S22" s="81">
        <f>SUM(S21:S21)</f>
        <v>0</v>
      </c>
      <c r="T22" s="77"/>
      <c r="U22" s="81">
        <f>SUM(U21:U21)</f>
        <v>0</v>
      </c>
      <c r="V22" s="77"/>
      <c r="W22" s="81">
        <f>SUM(W21:W21)</f>
        <v>200000</v>
      </c>
      <c r="X22" s="77"/>
      <c r="Y22" s="81">
        <f>SUM(Y21:Y21)</f>
        <v>200000</v>
      </c>
      <c r="Z22" s="57"/>
      <c r="AA22" s="65" t="e">
        <f>IF(W22=0,"N/A",PRODUCT(Y22,1/I22))</f>
        <v>#DIV/0!</v>
      </c>
      <c r="AB22" s="57"/>
      <c r="AC22" s="81">
        <f>SUM(AC21:AC21)</f>
        <v>200000</v>
      </c>
      <c r="AD22" s="57"/>
      <c r="AE22" s="65" t="e">
        <f>IF(W22=0,"N/A",PRODUCT(AC22,1/Q22))</f>
        <v>#DIV/0!</v>
      </c>
      <c r="AF22" s="57"/>
      <c r="AG22" s="57"/>
      <c r="AH22" s="57"/>
      <c r="AI22" s="57"/>
      <c r="AJ22" s="57"/>
    </row>
    <row r="23" spans="1:36" ht="12.75" customHeight="1" x14ac:dyDescent="0.2">
      <c r="C23" s="77"/>
      <c r="D23" s="78"/>
      <c r="E23" s="77"/>
      <c r="F23" s="78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57"/>
      <c r="AA23" s="58"/>
      <c r="AB23" s="57"/>
      <c r="AC23" s="77"/>
      <c r="AD23" s="57"/>
      <c r="AE23" s="58"/>
      <c r="AF23" s="57"/>
      <c r="AG23" s="57"/>
      <c r="AH23" s="57"/>
      <c r="AI23" s="57"/>
      <c r="AJ23" s="57"/>
    </row>
    <row r="24" spans="1:36" ht="12.75" customHeight="1" thickBot="1" x14ac:dyDescent="0.25">
      <c r="A24" s="67" t="s">
        <v>1419</v>
      </c>
      <c r="C24" s="83">
        <f>SUM(C18,C22)</f>
        <v>0</v>
      </c>
      <c r="D24" s="78"/>
      <c r="E24" s="83">
        <f>SUM(E18,E22)</f>
        <v>0</v>
      </c>
      <c r="F24" s="78"/>
      <c r="G24" s="83">
        <f>SUM(G18,G22)</f>
        <v>0</v>
      </c>
      <c r="H24" s="77"/>
      <c r="I24" s="83">
        <f>SUM(I18,I22)</f>
        <v>0</v>
      </c>
      <c r="J24" s="77"/>
      <c r="K24" s="83">
        <f>SUM(K18,K22)</f>
        <v>0</v>
      </c>
      <c r="L24" s="77"/>
      <c r="M24" s="82">
        <f>SUM(M18,M22)</f>
        <v>0</v>
      </c>
      <c r="N24" s="77"/>
      <c r="O24" s="82">
        <f>SUM(O18,O22)</f>
        <v>0</v>
      </c>
      <c r="P24" s="77"/>
      <c r="Q24" s="83">
        <f>SUM(Q18,Q22)</f>
        <v>0</v>
      </c>
      <c r="R24" s="77"/>
      <c r="S24" s="82">
        <f>SUM(S18,S22)</f>
        <v>0</v>
      </c>
      <c r="T24" s="77"/>
      <c r="U24" s="82">
        <f>SUM(U18,U22)</f>
        <v>0</v>
      </c>
      <c r="V24" s="77"/>
      <c r="W24" s="83">
        <f>SUM(W18,W22)</f>
        <v>200000</v>
      </c>
      <c r="X24" s="77"/>
      <c r="Y24" s="82">
        <f>SUM(Y18,Y22)</f>
        <v>200000</v>
      </c>
      <c r="Z24" s="57"/>
      <c r="AA24" s="125" t="e">
        <f>IF(W24=0,"N/A",PRODUCT(Y24,1/I24))</f>
        <v>#DIV/0!</v>
      </c>
      <c r="AB24" s="57"/>
      <c r="AC24" s="82">
        <f>SUM(AC18,AC22)</f>
        <v>200000</v>
      </c>
      <c r="AD24" s="57"/>
      <c r="AE24" s="125" t="e">
        <f>IF(W24=0,"N/A",PRODUCT(AC24,1/Q24))</f>
        <v>#DIV/0!</v>
      </c>
      <c r="AF24" s="57"/>
      <c r="AG24" s="57"/>
      <c r="AH24" s="57"/>
      <c r="AI24" s="57"/>
      <c r="AJ24" s="57"/>
    </row>
    <row r="25" spans="1:36" ht="12.75" customHeight="1" thickTop="1" x14ac:dyDescent="0.2">
      <c r="C25" s="77"/>
      <c r="D25" s="78"/>
      <c r="E25" s="77"/>
      <c r="F25" s="78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57"/>
      <c r="AA25" s="57"/>
      <c r="AB25" s="57"/>
      <c r="AC25" s="77"/>
      <c r="AD25" s="57"/>
      <c r="AE25" s="57"/>
      <c r="AF25" s="57"/>
      <c r="AG25" s="57"/>
      <c r="AH25" s="57"/>
      <c r="AI25" s="57"/>
      <c r="AJ25" s="57"/>
    </row>
    <row r="26" spans="1:36" ht="12.75" customHeight="1" x14ac:dyDescent="0.2">
      <c r="C26" s="77"/>
      <c r="D26" s="78"/>
      <c r="E26" s="77"/>
      <c r="F26" s="78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57"/>
      <c r="AA26" s="57"/>
      <c r="AB26" s="57"/>
      <c r="AC26" s="77"/>
      <c r="AD26" s="57"/>
      <c r="AE26" s="57"/>
      <c r="AF26" s="57"/>
      <c r="AG26" s="57"/>
      <c r="AH26" s="57"/>
      <c r="AI26" s="57"/>
      <c r="AJ26" s="57"/>
    </row>
    <row r="27" spans="1:36" ht="12.75" customHeight="1" x14ac:dyDescent="0.2">
      <c r="C27" s="77"/>
      <c r="D27" s="78"/>
      <c r="E27" s="77"/>
      <c r="F27" s="78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57"/>
      <c r="AA27" s="57"/>
      <c r="AB27" s="57"/>
      <c r="AC27" s="77"/>
      <c r="AD27" s="57"/>
      <c r="AE27" s="57"/>
      <c r="AF27" s="57"/>
      <c r="AG27" s="57"/>
      <c r="AH27" s="57"/>
      <c r="AI27" s="57"/>
      <c r="AJ27" s="57"/>
    </row>
    <row r="28" spans="1:36" ht="12.75" customHeight="1" x14ac:dyDescent="0.2">
      <c r="A28" s="67" t="s">
        <v>786</v>
      </c>
      <c r="C28" s="88">
        <f>SUM(C10,-C24)</f>
        <v>0</v>
      </c>
      <c r="D28" s="78"/>
      <c r="E28" s="88">
        <f>SUM(E10,-E24)</f>
        <v>0</v>
      </c>
      <c r="F28" s="78"/>
      <c r="G28" s="88">
        <f>SUM(G10,-G24)</f>
        <v>0</v>
      </c>
      <c r="H28" s="77"/>
      <c r="I28" s="88">
        <f>SUM(I10,-I24)</f>
        <v>0</v>
      </c>
      <c r="J28" s="77"/>
      <c r="K28" s="88">
        <f>SUM(K10,-K24)</f>
        <v>0</v>
      </c>
      <c r="L28" s="77"/>
      <c r="M28" s="88">
        <f>SUM(M10,-M24)</f>
        <v>0</v>
      </c>
      <c r="N28" s="77"/>
      <c r="O28" s="88">
        <f>SUM(O10,-O24)</f>
        <v>0</v>
      </c>
      <c r="P28" s="77"/>
      <c r="Q28" s="88">
        <f>SUM(Q10,-Q24)</f>
        <v>0</v>
      </c>
      <c r="R28" s="77"/>
      <c r="S28" s="88">
        <f>SUM(S10,-S24)</f>
        <v>0</v>
      </c>
      <c r="T28" s="77"/>
      <c r="U28" s="88">
        <f>SUM(U10,-U24)</f>
        <v>0</v>
      </c>
      <c r="V28" s="77"/>
      <c r="W28" s="88">
        <f>SUM(W10,-W24)</f>
        <v>0</v>
      </c>
      <c r="X28" s="77"/>
      <c r="Y28" s="77"/>
      <c r="Z28" s="57"/>
      <c r="AA28" s="57"/>
      <c r="AB28" s="57"/>
      <c r="AC28" s="77"/>
      <c r="AD28" s="57"/>
      <c r="AE28" s="87"/>
      <c r="AF28" s="57"/>
      <c r="AG28" s="57"/>
      <c r="AH28" s="57"/>
      <c r="AI28" s="57"/>
      <c r="AJ28" s="57"/>
    </row>
    <row r="29" spans="1:36" ht="12.75" customHeight="1" x14ac:dyDescent="0.2">
      <c r="C29" s="77"/>
      <c r="D29" s="78"/>
      <c r="E29" s="77"/>
      <c r="F29" s="78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57"/>
      <c r="AA29" s="57"/>
      <c r="AB29" s="57"/>
      <c r="AC29" s="77"/>
      <c r="AD29" s="57"/>
      <c r="AE29" s="57"/>
      <c r="AF29" s="57"/>
      <c r="AG29" s="57"/>
      <c r="AH29" s="57"/>
      <c r="AI29" s="57"/>
      <c r="AJ29" s="57"/>
    </row>
    <row r="30" spans="1:36" ht="12.75" customHeight="1" x14ac:dyDescent="0.2">
      <c r="A30" s="70" t="s">
        <v>787</v>
      </c>
      <c r="C30" s="77">
        <v>0</v>
      </c>
      <c r="D30" s="78"/>
      <c r="E30" s="77">
        <f>C34</f>
        <v>0</v>
      </c>
      <c r="F30" s="78"/>
      <c r="G30" s="77">
        <f>E34</f>
        <v>0</v>
      </c>
      <c r="H30" s="77"/>
      <c r="I30" s="77">
        <f>G34</f>
        <v>0</v>
      </c>
      <c r="J30" s="77"/>
      <c r="K30" s="77">
        <f>G34</f>
        <v>0</v>
      </c>
      <c r="L30" s="77"/>
      <c r="M30" s="77"/>
      <c r="N30" s="77"/>
      <c r="O30" s="77"/>
      <c r="P30" s="77"/>
      <c r="Q30" s="77">
        <f>G34</f>
        <v>0</v>
      </c>
      <c r="R30" s="77"/>
      <c r="S30" s="77"/>
      <c r="T30" s="77"/>
      <c r="U30" s="77"/>
      <c r="V30" s="77"/>
      <c r="W30" s="77">
        <f>Q34</f>
        <v>0</v>
      </c>
      <c r="X30" s="77"/>
      <c r="Y30" s="77"/>
      <c r="Z30" s="57"/>
      <c r="AA30" s="57"/>
      <c r="AB30" s="57"/>
      <c r="AC30" s="77"/>
      <c r="AD30" s="57"/>
      <c r="AE30" s="57"/>
      <c r="AF30" s="57"/>
      <c r="AG30" s="57"/>
      <c r="AH30" s="57"/>
      <c r="AI30" s="57"/>
      <c r="AJ30" s="57"/>
    </row>
    <row r="31" spans="1:36" ht="12.75" customHeight="1" x14ac:dyDescent="0.2">
      <c r="C31" s="77"/>
      <c r="D31" s="78"/>
      <c r="E31" s="77"/>
      <c r="F31" s="78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57"/>
      <c r="AA31" s="57"/>
      <c r="AB31" s="57"/>
      <c r="AC31" s="77"/>
      <c r="AD31" s="57"/>
      <c r="AE31" s="57"/>
      <c r="AF31" s="57"/>
      <c r="AG31" s="57"/>
      <c r="AH31" s="57"/>
      <c r="AI31" s="57"/>
      <c r="AJ31" s="57"/>
    </row>
    <row r="32" spans="1:36" ht="12.75" customHeight="1" x14ac:dyDescent="0.2">
      <c r="A32" s="70" t="s">
        <v>788</v>
      </c>
      <c r="C32" s="77">
        <f>SUM(C21,-C7)</f>
        <v>0</v>
      </c>
      <c r="D32" s="78"/>
      <c r="E32" s="77">
        <f>SUM(E21,-E7)</f>
        <v>0</v>
      </c>
      <c r="F32" s="78"/>
      <c r="G32" s="77">
        <f>SUM(G21,-G7)</f>
        <v>0</v>
      </c>
      <c r="H32" s="77"/>
      <c r="I32" s="77">
        <f>SUM(I21,-I7)</f>
        <v>0</v>
      </c>
      <c r="J32" s="77"/>
      <c r="K32" s="77">
        <f>SUM(K21,-K7)</f>
        <v>0</v>
      </c>
      <c r="L32" s="77"/>
      <c r="M32" s="77"/>
      <c r="N32" s="77"/>
      <c r="O32" s="77"/>
      <c r="P32" s="77"/>
      <c r="Q32" s="77">
        <f>SUM(Q21,-Q7)</f>
        <v>0</v>
      </c>
      <c r="R32" s="77"/>
      <c r="S32" s="77"/>
      <c r="T32" s="77"/>
      <c r="U32" s="77"/>
      <c r="V32" s="77"/>
      <c r="W32" s="77">
        <f>SUM(W21,-W7)</f>
        <v>200000</v>
      </c>
      <c r="X32" s="77"/>
      <c r="Y32" s="77"/>
      <c r="Z32" s="57"/>
      <c r="AA32" s="57"/>
      <c r="AB32" s="57"/>
      <c r="AC32" s="77"/>
      <c r="AD32" s="57"/>
      <c r="AE32" s="57"/>
      <c r="AF32" s="57"/>
      <c r="AG32" s="57"/>
      <c r="AH32" s="57"/>
      <c r="AI32" s="57"/>
      <c r="AJ32" s="57"/>
    </row>
    <row r="33" spans="1:36" ht="12.75" customHeight="1" x14ac:dyDescent="0.2">
      <c r="C33" s="77"/>
      <c r="D33" s="78"/>
      <c r="E33" s="77"/>
      <c r="F33" s="78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57"/>
      <c r="AA33" s="57"/>
      <c r="AB33" s="57"/>
      <c r="AC33" s="77"/>
      <c r="AD33" s="57"/>
      <c r="AE33" s="57"/>
      <c r="AF33" s="57"/>
      <c r="AG33" s="57"/>
      <c r="AH33" s="57"/>
      <c r="AI33" s="57"/>
      <c r="AJ33" s="57"/>
    </row>
    <row r="34" spans="1:36" ht="12.75" customHeight="1" thickBot="1" x14ac:dyDescent="0.25">
      <c r="A34" s="67" t="s">
        <v>789</v>
      </c>
      <c r="C34" s="83">
        <f>SUM(C28,C30,C32)</f>
        <v>0</v>
      </c>
      <c r="D34" s="78"/>
      <c r="E34" s="83">
        <f>SUM(E28,E30,E32)</f>
        <v>0</v>
      </c>
      <c r="F34" s="78"/>
      <c r="G34" s="83">
        <f>SUM(G28,G30,G32)</f>
        <v>0</v>
      </c>
      <c r="H34" s="77"/>
      <c r="I34" s="83">
        <f>SUM(I28,I30,I32)</f>
        <v>0</v>
      </c>
      <c r="J34" s="77"/>
      <c r="K34" s="83">
        <f>SUM(K28,K30,K32)</f>
        <v>0</v>
      </c>
      <c r="L34" s="77"/>
      <c r="M34" s="88"/>
      <c r="N34" s="77"/>
      <c r="O34" s="88"/>
      <c r="P34" s="77"/>
      <c r="Q34" s="83">
        <f>SUM(Q28,Q30,Q32)</f>
        <v>0</v>
      </c>
      <c r="R34" s="77"/>
      <c r="S34" s="88"/>
      <c r="T34" s="77"/>
      <c r="U34" s="88"/>
      <c r="V34" s="77"/>
      <c r="W34" s="83">
        <f>SUM(W28,W30,W32)</f>
        <v>200000</v>
      </c>
      <c r="X34" s="77"/>
      <c r="Y34" s="77"/>
      <c r="Z34" s="57"/>
      <c r="AA34" s="57"/>
      <c r="AB34" s="57"/>
      <c r="AC34" s="77"/>
      <c r="AD34" s="57"/>
      <c r="AE34" s="87"/>
      <c r="AF34" s="57"/>
      <c r="AG34" s="57"/>
      <c r="AH34" s="57"/>
      <c r="AI34" s="57"/>
      <c r="AJ34" s="57"/>
    </row>
    <row r="35" spans="1:36" ht="12.75" customHeight="1" thickTop="1" x14ac:dyDescent="0.2">
      <c r="C35" s="77"/>
      <c r="D35" s="78"/>
      <c r="E35" s="77"/>
      <c r="F35" s="78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57"/>
      <c r="AA35" s="57"/>
      <c r="AB35" s="57"/>
      <c r="AC35" s="77"/>
      <c r="AD35" s="57"/>
      <c r="AE35" s="57"/>
      <c r="AF35" s="57"/>
      <c r="AG35" s="57"/>
      <c r="AH35" s="57"/>
      <c r="AI35" s="57"/>
      <c r="AJ35" s="57"/>
    </row>
    <row r="36" spans="1:36" ht="12.75" customHeight="1" x14ac:dyDescent="0.2">
      <c r="C36" s="57"/>
      <c r="D36" s="53"/>
      <c r="E36" s="57"/>
      <c r="F36" s="53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</row>
    <row r="37" spans="1:36" ht="12.75" customHeight="1" x14ac:dyDescent="0.2">
      <c r="C37" s="57"/>
      <c r="D37" s="53"/>
      <c r="E37" s="57"/>
      <c r="F37" s="53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</row>
    <row r="38" spans="1:36" ht="12.75" customHeight="1" x14ac:dyDescent="0.2">
      <c r="C38" s="57"/>
      <c r="D38" s="53"/>
      <c r="E38" s="57"/>
      <c r="F38" s="53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</row>
    <row r="39" spans="1:36" ht="12.75" customHeight="1" x14ac:dyDescent="0.2">
      <c r="C39" s="57"/>
      <c r="D39" s="53"/>
      <c r="E39" s="57"/>
      <c r="F39" s="53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</row>
    <row r="40" spans="1:36" x14ac:dyDescent="0.2">
      <c r="C40" s="57"/>
      <c r="D40" s="53"/>
      <c r="E40" s="57"/>
      <c r="F40" s="53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</row>
    <row r="41" spans="1:36" x14ac:dyDescent="0.2">
      <c r="C41" s="57"/>
      <c r="D41" s="53"/>
      <c r="E41" s="57"/>
      <c r="F41" s="53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1:36" x14ac:dyDescent="0.2">
      <c r="C42" s="57"/>
      <c r="D42" s="53"/>
      <c r="E42" s="57"/>
      <c r="F42" s="53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6" x14ac:dyDescent="0.2">
      <c r="C43" s="57"/>
      <c r="D43" s="53"/>
      <c r="E43" s="57"/>
      <c r="F43" s="53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6" x14ac:dyDescent="0.2">
      <c r="C44" s="57"/>
      <c r="D44" s="53"/>
      <c r="E44" s="57"/>
      <c r="F44" s="53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6" x14ac:dyDescent="0.2">
      <c r="C45" s="57"/>
      <c r="D45" s="53"/>
      <c r="E45" s="57"/>
      <c r="F45" s="53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6" x14ac:dyDescent="0.2">
      <c r="C46" s="57"/>
      <c r="D46" s="53"/>
      <c r="E46" s="57"/>
      <c r="F46" s="53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6" x14ac:dyDescent="0.2">
      <c r="C47" s="57"/>
      <c r="D47" s="53"/>
      <c r="E47" s="57"/>
      <c r="F47" s="53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6" x14ac:dyDescent="0.2">
      <c r="C48" s="57"/>
      <c r="D48" s="53"/>
      <c r="E48" s="57"/>
      <c r="F48" s="53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3:36" x14ac:dyDescent="0.2">
      <c r="C49" s="57"/>
      <c r="D49" s="53"/>
      <c r="E49" s="57"/>
      <c r="F49" s="53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3:36" x14ac:dyDescent="0.2">
      <c r="C50" s="57"/>
      <c r="D50" s="53"/>
      <c r="E50" s="57"/>
      <c r="F50" s="53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3:36" x14ac:dyDescent="0.2">
      <c r="C51" s="57"/>
      <c r="D51" s="53"/>
      <c r="E51" s="57"/>
      <c r="F51" s="53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3:36" x14ac:dyDescent="0.2">
      <c r="C52" s="57"/>
      <c r="D52" s="53"/>
      <c r="E52" s="57"/>
      <c r="F52" s="53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3:36" x14ac:dyDescent="0.2">
      <c r="C53" s="57"/>
      <c r="D53" s="53"/>
      <c r="E53" s="57"/>
      <c r="F53" s="53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3:36" x14ac:dyDescent="0.2">
      <c r="C54" s="57"/>
      <c r="D54" s="53"/>
      <c r="E54" s="57"/>
      <c r="F54" s="53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3:36" x14ac:dyDescent="0.2">
      <c r="C55" s="57"/>
      <c r="D55" s="53"/>
      <c r="E55" s="57"/>
      <c r="F55" s="5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3:36" x14ac:dyDescent="0.2">
      <c r="C56" s="57"/>
      <c r="D56" s="53"/>
      <c r="E56" s="57"/>
      <c r="F56" s="53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3:36" x14ac:dyDescent="0.2">
      <c r="C57" s="57"/>
      <c r="D57" s="53"/>
      <c r="E57" s="57"/>
      <c r="F57" s="53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3:36" x14ac:dyDescent="0.2">
      <c r="C58" s="57"/>
      <c r="D58" s="53"/>
      <c r="E58" s="57"/>
      <c r="F58" s="53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3:36" x14ac:dyDescent="0.2">
      <c r="C59" s="57"/>
      <c r="D59" s="53"/>
      <c r="E59" s="57"/>
      <c r="F59" s="53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3:36" x14ac:dyDescent="0.2">
      <c r="C60" s="57"/>
      <c r="D60" s="53"/>
      <c r="E60" s="57"/>
      <c r="F60" s="53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3:36" x14ac:dyDescent="0.2">
      <c r="C61" s="57"/>
      <c r="D61" s="53"/>
      <c r="E61" s="57"/>
      <c r="F61" s="53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3:36" x14ac:dyDescent="0.2">
      <c r="C62" s="57"/>
      <c r="D62" s="53"/>
      <c r="E62" s="57"/>
      <c r="F62" s="53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3:36" x14ac:dyDescent="0.2">
      <c r="C63" s="57"/>
      <c r="D63" s="53"/>
      <c r="E63" s="57"/>
      <c r="F63" s="53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3:36" x14ac:dyDescent="0.2">
      <c r="C64" s="57"/>
      <c r="D64" s="53"/>
      <c r="E64" s="57"/>
      <c r="F64" s="53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3:36" x14ac:dyDescent="0.2">
      <c r="C65" s="57"/>
      <c r="D65" s="53"/>
      <c r="E65" s="57"/>
      <c r="F65" s="53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3:36" x14ac:dyDescent="0.2">
      <c r="C66" s="57"/>
      <c r="D66" s="53"/>
      <c r="E66" s="57"/>
      <c r="F66" s="53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3:36" x14ac:dyDescent="0.2">
      <c r="C67" s="57"/>
      <c r="D67" s="53"/>
      <c r="E67" s="57"/>
      <c r="F67" s="53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3:36" x14ac:dyDescent="0.2">
      <c r="C68" s="57"/>
      <c r="D68" s="53"/>
      <c r="E68" s="57"/>
      <c r="F68" s="53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09FB-E26E-4C11-84A6-BAC47A7C5694}">
  <dimension ref="A1:AH289"/>
  <sheetViews>
    <sheetView workbookViewId="0">
      <pane xSplit="1" ySplit="2" topLeftCell="B183" activePane="bottomRight" state="frozen"/>
      <selection pane="topRight" activeCell="B1" sqref="B1"/>
      <selection pane="bottomLeft" activeCell="A3" sqref="A3"/>
      <selection pane="bottomRight" activeCell="B287" sqref="B287"/>
    </sheetView>
  </sheetViews>
  <sheetFormatPr defaultRowHeight="15" x14ac:dyDescent="0.25"/>
  <cols>
    <col min="1" max="1" width="9.140625" style="1"/>
    <col min="2" max="12" width="33.7109375" customWidth="1"/>
    <col min="13" max="13" width="32.28515625" bestFit="1" customWidth="1"/>
    <col min="14" max="34" width="33.7109375" customWidth="1"/>
  </cols>
  <sheetData>
    <row r="1" spans="1:34" s="2" customFormat="1" x14ac:dyDescent="0.25">
      <c r="B1" s="2" t="s">
        <v>494</v>
      </c>
      <c r="C1" s="2" t="s">
        <v>494</v>
      </c>
      <c r="D1" s="2" t="s">
        <v>494</v>
      </c>
      <c r="E1" s="2" t="s">
        <v>494</v>
      </c>
      <c r="F1" s="2" t="s">
        <v>494</v>
      </c>
      <c r="G1" s="2" t="s">
        <v>494</v>
      </c>
      <c r="H1" s="2" t="s">
        <v>494</v>
      </c>
      <c r="I1" s="2" t="s">
        <v>494</v>
      </c>
      <c r="J1" s="2" t="s">
        <v>494</v>
      </c>
      <c r="K1" s="2" t="s">
        <v>494</v>
      </c>
      <c r="L1" s="2" t="s">
        <v>494</v>
      </c>
      <c r="M1" s="2" t="s">
        <v>517</v>
      </c>
      <c r="N1" s="2" t="s">
        <v>517</v>
      </c>
      <c r="O1" s="2" t="s">
        <v>517</v>
      </c>
      <c r="P1" s="2" t="s">
        <v>517</v>
      </c>
      <c r="Q1" s="2" t="s">
        <v>517</v>
      </c>
      <c r="R1" s="2" t="s">
        <v>517</v>
      </c>
      <c r="S1" s="2" t="s">
        <v>517</v>
      </c>
      <c r="T1" s="2" t="s">
        <v>517</v>
      </c>
      <c r="U1" s="2" t="s">
        <v>517</v>
      </c>
      <c r="V1" s="2" t="s">
        <v>517</v>
      </c>
      <c r="W1" s="2" t="s">
        <v>517</v>
      </c>
      <c r="X1" s="2" t="s">
        <v>517</v>
      </c>
      <c r="Y1" s="2" t="s">
        <v>517</v>
      </c>
      <c r="Z1" s="2" t="s">
        <v>760</v>
      </c>
      <c r="AA1" s="2" t="s">
        <v>1059</v>
      </c>
      <c r="AB1" s="2" t="s">
        <v>1060</v>
      </c>
      <c r="AC1" s="2" t="s">
        <v>1061</v>
      </c>
      <c r="AD1" s="2" t="s">
        <v>1062</v>
      </c>
      <c r="AE1" s="2" t="s">
        <v>1307</v>
      </c>
      <c r="AF1" s="2" t="s">
        <v>1308</v>
      </c>
      <c r="AG1" s="2" t="s">
        <v>1309</v>
      </c>
      <c r="AH1" s="2" t="s">
        <v>1310</v>
      </c>
    </row>
    <row r="2" spans="1:34" s="1" customFormat="1" x14ac:dyDescent="0.25">
      <c r="B2" s="1">
        <v>1000</v>
      </c>
      <c r="C2" s="1">
        <v>1001</v>
      </c>
      <c r="D2" s="1">
        <v>1002</v>
      </c>
      <c r="E2" s="1">
        <v>2001</v>
      </c>
      <c r="F2" s="1">
        <v>2002</v>
      </c>
      <c r="G2" s="1">
        <v>3001</v>
      </c>
      <c r="H2" s="1">
        <v>4000</v>
      </c>
      <c r="I2" s="1">
        <v>9500</v>
      </c>
      <c r="J2" s="1">
        <v>9900</v>
      </c>
      <c r="K2" s="1">
        <v>9994</v>
      </c>
      <c r="L2" s="1">
        <v>9999</v>
      </c>
      <c r="M2" s="1">
        <v>1000</v>
      </c>
      <c r="N2" s="1">
        <v>1001</v>
      </c>
      <c r="O2" s="1">
        <v>1500</v>
      </c>
      <c r="P2" s="1">
        <v>2000</v>
      </c>
      <c r="Q2" s="1">
        <v>3000</v>
      </c>
      <c r="R2" s="1">
        <v>5000</v>
      </c>
      <c r="S2" s="1">
        <v>6000</v>
      </c>
      <c r="T2" s="1">
        <v>7000</v>
      </c>
      <c r="U2" s="1">
        <v>8000</v>
      </c>
      <c r="V2" s="1">
        <v>9000</v>
      </c>
      <c r="W2" s="1">
        <v>9500</v>
      </c>
      <c r="X2" s="1">
        <v>9600</v>
      </c>
      <c r="Y2" s="1">
        <v>9995</v>
      </c>
      <c r="Z2" s="1">
        <v>1000</v>
      </c>
      <c r="AH2" s="1">
        <v>9999</v>
      </c>
    </row>
    <row r="3" spans="1:34" x14ac:dyDescent="0.25">
      <c r="A3" s="1">
        <v>40110</v>
      </c>
      <c r="C3" t="s">
        <v>575</v>
      </c>
    </row>
    <row r="4" spans="1:34" x14ac:dyDescent="0.25">
      <c r="A4" s="1">
        <v>40111</v>
      </c>
      <c r="C4" t="s">
        <v>576</v>
      </c>
    </row>
    <row r="5" spans="1:34" x14ac:dyDescent="0.25">
      <c r="A5" s="1">
        <v>40112</v>
      </c>
      <c r="C5" t="s">
        <v>496</v>
      </c>
    </row>
    <row r="6" spans="1:34" x14ac:dyDescent="0.25">
      <c r="A6" s="1">
        <v>40115</v>
      </c>
      <c r="C6" t="s">
        <v>497</v>
      </c>
    </row>
    <row r="7" spans="1:34" x14ac:dyDescent="0.25">
      <c r="A7" s="1">
        <v>40117</v>
      </c>
      <c r="C7" t="s">
        <v>591</v>
      </c>
      <c r="E7" t="s">
        <v>592</v>
      </c>
    </row>
    <row r="8" spans="1:34" x14ac:dyDescent="0.25">
      <c r="A8" s="1">
        <v>40118</v>
      </c>
      <c r="B8" t="s">
        <v>495</v>
      </c>
      <c r="M8" t="s">
        <v>249</v>
      </c>
    </row>
    <row r="9" spans="1:34" x14ac:dyDescent="0.25">
      <c r="A9" s="1">
        <v>40120</v>
      </c>
      <c r="E9" t="s">
        <v>593</v>
      </c>
    </row>
    <row r="10" spans="1:34" x14ac:dyDescent="0.25">
      <c r="A10" s="1">
        <v>40122</v>
      </c>
      <c r="C10" t="s">
        <v>498</v>
      </c>
      <c r="E10" t="s">
        <v>498</v>
      </c>
    </row>
    <row r="11" spans="1:34" x14ac:dyDescent="0.25">
      <c r="A11" s="1">
        <v>40124</v>
      </c>
      <c r="E11" t="s">
        <v>594</v>
      </c>
    </row>
    <row r="12" spans="1:34" x14ac:dyDescent="0.25">
      <c r="A12" s="1">
        <v>40125</v>
      </c>
      <c r="E12" t="s">
        <v>595</v>
      </c>
    </row>
    <row r="13" spans="1:34" x14ac:dyDescent="0.25">
      <c r="A13" s="1">
        <v>40126</v>
      </c>
      <c r="G13" t="s">
        <v>602</v>
      </c>
    </row>
    <row r="14" spans="1:34" x14ac:dyDescent="0.25">
      <c r="A14" s="1">
        <v>40127</v>
      </c>
      <c r="E14" t="s">
        <v>596</v>
      </c>
    </row>
    <row r="15" spans="1:34" x14ac:dyDescent="0.25">
      <c r="A15" s="1">
        <v>40130</v>
      </c>
      <c r="G15" t="s">
        <v>603</v>
      </c>
    </row>
    <row r="16" spans="1:34" x14ac:dyDescent="0.25">
      <c r="A16" s="1">
        <v>40135</v>
      </c>
      <c r="G16" t="s">
        <v>604</v>
      </c>
    </row>
    <row r="17" spans="1:26" x14ac:dyDescent="0.25">
      <c r="A17" s="1">
        <v>40140</v>
      </c>
      <c r="H17" t="s">
        <v>611</v>
      </c>
    </row>
    <row r="18" spans="1:26" x14ac:dyDescent="0.25">
      <c r="A18" s="1">
        <v>40142</v>
      </c>
      <c r="H18" t="s">
        <v>612</v>
      </c>
    </row>
    <row r="19" spans="1:26" x14ac:dyDescent="0.25">
      <c r="A19" s="1">
        <v>40160</v>
      </c>
      <c r="T19" t="s">
        <v>466</v>
      </c>
    </row>
    <row r="20" spans="1:26" x14ac:dyDescent="0.25">
      <c r="A20" s="1">
        <v>40162</v>
      </c>
      <c r="T20" t="s">
        <v>468</v>
      </c>
    </row>
    <row r="21" spans="1:26" x14ac:dyDescent="0.25">
      <c r="A21" s="1">
        <v>40163</v>
      </c>
      <c r="T21" t="s">
        <v>470</v>
      </c>
    </row>
    <row r="22" spans="1:26" x14ac:dyDescent="0.25">
      <c r="A22" s="1">
        <v>40165</v>
      </c>
      <c r="T22" t="s">
        <v>472</v>
      </c>
      <c r="X22" t="s">
        <v>472</v>
      </c>
    </row>
    <row r="23" spans="1:26" x14ac:dyDescent="0.25">
      <c r="A23" s="1">
        <v>40166</v>
      </c>
      <c r="T23" t="s">
        <v>474</v>
      </c>
    </row>
    <row r="24" spans="1:26" x14ac:dyDescent="0.25">
      <c r="A24" s="1">
        <v>40167</v>
      </c>
      <c r="T24" t="s">
        <v>476</v>
      </c>
    </row>
    <row r="25" spans="1:26" x14ac:dyDescent="0.25">
      <c r="A25" s="1">
        <v>40170</v>
      </c>
      <c r="M25" t="s">
        <v>248</v>
      </c>
    </row>
    <row r="26" spans="1:26" x14ac:dyDescent="0.25">
      <c r="A26" s="1">
        <v>40171</v>
      </c>
      <c r="B26" t="s">
        <v>250</v>
      </c>
      <c r="C26" t="s">
        <v>250</v>
      </c>
      <c r="M26" t="s">
        <v>250</v>
      </c>
      <c r="N26" t="s">
        <v>250</v>
      </c>
      <c r="W26" t="s">
        <v>250</v>
      </c>
    </row>
    <row r="27" spans="1:26" x14ac:dyDescent="0.25">
      <c r="A27" s="1">
        <v>40173</v>
      </c>
      <c r="B27" t="s">
        <v>570</v>
      </c>
    </row>
    <row r="28" spans="1:26" x14ac:dyDescent="0.25">
      <c r="A28" s="1">
        <v>40175</v>
      </c>
      <c r="B28" t="s">
        <v>252</v>
      </c>
      <c r="M28" t="s">
        <v>252</v>
      </c>
      <c r="R28" t="s">
        <v>252</v>
      </c>
      <c r="U28" t="s">
        <v>252</v>
      </c>
      <c r="X28" t="s">
        <v>252</v>
      </c>
    </row>
    <row r="29" spans="1:26" x14ac:dyDescent="0.25">
      <c r="A29" s="1">
        <v>40178</v>
      </c>
      <c r="C29" t="s">
        <v>512</v>
      </c>
    </row>
    <row r="30" spans="1:26" x14ac:dyDescent="0.25">
      <c r="A30" s="1">
        <v>40179</v>
      </c>
      <c r="M30" t="s">
        <v>254</v>
      </c>
    </row>
    <row r="31" spans="1:26" x14ac:dyDescent="0.25">
      <c r="A31" s="1">
        <v>40180</v>
      </c>
      <c r="B31" t="s">
        <v>256</v>
      </c>
      <c r="C31" t="s">
        <v>256</v>
      </c>
      <c r="E31" t="s">
        <v>256</v>
      </c>
      <c r="G31" t="s">
        <v>256</v>
      </c>
      <c r="M31" t="s">
        <v>256</v>
      </c>
      <c r="N31" s="5" t="s">
        <v>634</v>
      </c>
      <c r="R31" t="s">
        <v>256</v>
      </c>
      <c r="T31" t="s">
        <v>256</v>
      </c>
      <c r="U31" t="s">
        <v>256</v>
      </c>
      <c r="V31" t="s">
        <v>256</v>
      </c>
      <c r="W31" t="s">
        <v>256</v>
      </c>
      <c r="X31" t="s">
        <v>256</v>
      </c>
      <c r="Z31" t="s">
        <v>256</v>
      </c>
    </row>
    <row r="32" spans="1:26" x14ac:dyDescent="0.25">
      <c r="A32" s="1">
        <v>40181</v>
      </c>
      <c r="B32" t="s">
        <v>489</v>
      </c>
    </row>
    <row r="33" spans="1:34" x14ac:dyDescent="0.25">
      <c r="A33" s="1">
        <v>40182</v>
      </c>
      <c r="B33" t="s">
        <v>414</v>
      </c>
      <c r="R33" t="s">
        <v>414</v>
      </c>
      <c r="U33" t="s">
        <v>414</v>
      </c>
      <c r="W33" t="s">
        <v>414</v>
      </c>
    </row>
    <row r="34" spans="1:34" x14ac:dyDescent="0.25">
      <c r="A34" s="1">
        <v>40183</v>
      </c>
      <c r="W34" t="s">
        <v>640</v>
      </c>
    </row>
    <row r="35" spans="1:34" x14ac:dyDescent="0.25">
      <c r="A35" s="1">
        <v>40184</v>
      </c>
      <c r="W35" t="s">
        <v>641</v>
      </c>
    </row>
    <row r="36" spans="1:34" x14ac:dyDescent="0.25">
      <c r="A36" s="1">
        <v>40185</v>
      </c>
      <c r="C36" s="5" t="s">
        <v>513</v>
      </c>
      <c r="W36" t="s">
        <v>642</v>
      </c>
    </row>
    <row r="37" spans="1:34" x14ac:dyDescent="0.25">
      <c r="A37" s="1">
        <v>40186</v>
      </c>
      <c r="M37" t="s">
        <v>257</v>
      </c>
      <c r="R37" t="s">
        <v>257</v>
      </c>
      <c r="U37" t="s">
        <v>257</v>
      </c>
      <c r="W37" t="s">
        <v>257</v>
      </c>
    </row>
    <row r="38" spans="1:34" x14ac:dyDescent="0.25">
      <c r="A38" s="1">
        <v>40187</v>
      </c>
      <c r="W38" t="s">
        <v>643</v>
      </c>
    </row>
    <row r="39" spans="1:34" x14ac:dyDescent="0.25">
      <c r="A39" s="1">
        <v>40188</v>
      </c>
      <c r="B39" t="s">
        <v>259</v>
      </c>
      <c r="M39" t="s">
        <v>259</v>
      </c>
    </row>
    <row r="40" spans="1:34" x14ac:dyDescent="0.25">
      <c r="A40" s="1">
        <v>40189</v>
      </c>
      <c r="M40" t="s">
        <v>261</v>
      </c>
    </row>
    <row r="41" spans="1:34" x14ac:dyDescent="0.25">
      <c r="A41" s="1">
        <v>40190</v>
      </c>
      <c r="M41" t="s">
        <v>280</v>
      </c>
    </row>
    <row r="42" spans="1:34" x14ac:dyDescent="0.25">
      <c r="A42" s="1">
        <v>40191</v>
      </c>
      <c r="S42" t="s">
        <v>464</v>
      </c>
    </row>
    <row r="43" spans="1:34" x14ac:dyDescent="0.25">
      <c r="A43" s="1">
        <v>40192</v>
      </c>
      <c r="W43" t="s">
        <v>644</v>
      </c>
    </row>
    <row r="44" spans="1:34" x14ac:dyDescent="0.25">
      <c r="A44" s="1">
        <v>40193</v>
      </c>
      <c r="M44" t="s">
        <v>263</v>
      </c>
      <c r="O44" t="s">
        <v>263</v>
      </c>
    </row>
    <row r="45" spans="1:34" x14ac:dyDescent="0.25">
      <c r="A45" s="1">
        <v>40194</v>
      </c>
      <c r="M45" t="s">
        <v>265</v>
      </c>
    </row>
    <row r="46" spans="1:34" x14ac:dyDescent="0.25">
      <c r="A46" s="1">
        <v>40195</v>
      </c>
      <c r="B46" s="5" t="s">
        <v>509</v>
      </c>
      <c r="W46" s="5" t="s">
        <v>645</v>
      </c>
      <c r="AH46" t="s">
        <v>920</v>
      </c>
    </row>
    <row r="47" spans="1:34" x14ac:dyDescent="0.25">
      <c r="A47" s="1">
        <v>40196</v>
      </c>
      <c r="M47" t="s">
        <v>1306</v>
      </c>
      <c r="AE47" t="s">
        <v>1306</v>
      </c>
      <c r="AF47" t="s">
        <v>1306</v>
      </c>
    </row>
    <row r="48" spans="1:34" x14ac:dyDescent="0.25">
      <c r="A48" s="1">
        <v>40197</v>
      </c>
      <c r="M48" t="s">
        <v>1311</v>
      </c>
      <c r="AE48" t="s">
        <v>1311</v>
      </c>
      <c r="AG48" t="s">
        <v>1311</v>
      </c>
    </row>
    <row r="49" spans="1:31" x14ac:dyDescent="0.25">
      <c r="A49" s="1">
        <v>40198</v>
      </c>
      <c r="M49" t="s">
        <v>269</v>
      </c>
    </row>
    <row r="50" spans="1:31" x14ac:dyDescent="0.25">
      <c r="A50" s="1">
        <v>40199</v>
      </c>
      <c r="M50" t="s">
        <v>1313</v>
      </c>
    </row>
    <row r="51" spans="1:31" x14ac:dyDescent="0.25">
      <c r="A51" s="1">
        <v>40200</v>
      </c>
      <c r="M51" t="s">
        <v>1312</v>
      </c>
      <c r="AE51" t="s">
        <v>1312</v>
      </c>
    </row>
    <row r="52" spans="1:31" x14ac:dyDescent="0.25">
      <c r="A52" s="1">
        <v>40201</v>
      </c>
      <c r="M52" t="s">
        <v>1319</v>
      </c>
    </row>
    <row r="53" spans="1:31" x14ac:dyDescent="0.25">
      <c r="A53" s="1">
        <v>40202</v>
      </c>
      <c r="M53" t="s">
        <v>1320</v>
      </c>
    </row>
    <row r="54" spans="1:31" x14ac:dyDescent="0.25">
      <c r="A54" s="1">
        <v>40203</v>
      </c>
      <c r="B54" t="s">
        <v>275</v>
      </c>
      <c r="M54" t="s">
        <v>275</v>
      </c>
    </row>
    <row r="55" spans="1:31" x14ac:dyDescent="0.25">
      <c r="A55" s="1">
        <v>40204</v>
      </c>
      <c r="B55" t="s">
        <v>277</v>
      </c>
      <c r="M55" t="s">
        <v>277</v>
      </c>
    </row>
    <row r="56" spans="1:31" x14ac:dyDescent="0.25">
      <c r="A56" s="1">
        <v>40205</v>
      </c>
      <c r="B56" t="s">
        <v>519</v>
      </c>
      <c r="T56" t="s">
        <v>479</v>
      </c>
      <c r="W56" s="5" t="s">
        <v>646</v>
      </c>
    </row>
    <row r="57" spans="1:31" x14ac:dyDescent="0.25">
      <c r="A57" s="1">
        <v>40206</v>
      </c>
      <c r="X57" t="s">
        <v>652</v>
      </c>
    </row>
    <row r="58" spans="1:31" x14ac:dyDescent="0.25">
      <c r="A58" s="1">
        <v>40207</v>
      </c>
      <c r="X58" t="s">
        <v>653</v>
      </c>
    </row>
    <row r="59" spans="1:31" x14ac:dyDescent="0.25">
      <c r="A59" s="1">
        <v>40208</v>
      </c>
      <c r="X59" t="s">
        <v>654</v>
      </c>
    </row>
    <row r="60" spans="1:31" x14ac:dyDescent="0.25">
      <c r="A60" s="1">
        <v>40209</v>
      </c>
      <c r="X60" t="s">
        <v>655</v>
      </c>
    </row>
    <row r="61" spans="1:31" x14ac:dyDescent="0.25">
      <c r="A61" s="1">
        <v>40210</v>
      </c>
      <c r="X61" t="s">
        <v>656</v>
      </c>
    </row>
    <row r="62" spans="1:31" x14ac:dyDescent="0.25">
      <c r="A62" s="1">
        <v>40211</v>
      </c>
    </row>
    <row r="63" spans="1:31" x14ac:dyDescent="0.25">
      <c r="A63" s="1">
        <v>40212</v>
      </c>
      <c r="M63" t="s">
        <v>281</v>
      </c>
      <c r="X63" t="s">
        <v>281</v>
      </c>
    </row>
    <row r="64" spans="1:31" x14ac:dyDescent="0.25">
      <c r="A64" s="1">
        <v>40213</v>
      </c>
      <c r="T64" t="s">
        <v>635</v>
      </c>
    </row>
    <row r="65" spans="1:26" x14ac:dyDescent="0.25">
      <c r="A65" s="1">
        <v>40220</v>
      </c>
      <c r="J65" t="s">
        <v>613</v>
      </c>
      <c r="X65" t="s">
        <v>613</v>
      </c>
      <c r="Z65" t="s">
        <v>613</v>
      </c>
    </row>
    <row r="66" spans="1:26" x14ac:dyDescent="0.25">
      <c r="A66" s="1">
        <v>40224</v>
      </c>
      <c r="Z66" t="s">
        <v>761</v>
      </c>
    </row>
    <row r="67" spans="1:26" x14ac:dyDescent="0.25">
      <c r="A67" s="1">
        <v>40225</v>
      </c>
      <c r="B67" t="s">
        <v>510</v>
      </c>
    </row>
    <row r="68" spans="1:26" x14ac:dyDescent="0.25">
      <c r="A68" s="1">
        <v>40226</v>
      </c>
      <c r="B68" t="s">
        <v>511</v>
      </c>
    </row>
    <row r="69" spans="1:26" x14ac:dyDescent="0.25">
      <c r="A69" s="1">
        <v>40300</v>
      </c>
      <c r="E69" t="s">
        <v>597</v>
      </c>
    </row>
    <row r="70" spans="1:26" x14ac:dyDescent="0.25">
      <c r="A70" s="1">
        <v>40310</v>
      </c>
      <c r="C70" t="s">
        <v>577</v>
      </c>
    </row>
    <row r="71" spans="1:26" x14ac:dyDescent="0.25">
      <c r="A71" s="1">
        <v>40506</v>
      </c>
      <c r="R71" t="s">
        <v>417</v>
      </c>
    </row>
    <row r="72" spans="1:26" x14ac:dyDescent="0.25">
      <c r="A72" s="1">
        <v>40507</v>
      </c>
      <c r="B72" t="s">
        <v>490</v>
      </c>
    </row>
    <row r="73" spans="1:26" x14ac:dyDescent="0.25">
      <c r="A73" s="1">
        <v>48001</v>
      </c>
      <c r="B73" t="s">
        <v>1131</v>
      </c>
    </row>
    <row r="74" spans="1:26" x14ac:dyDescent="0.25">
      <c r="A74" s="1">
        <v>48002</v>
      </c>
      <c r="B74" t="s">
        <v>1132</v>
      </c>
    </row>
    <row r="75" spans="1:26" x14ac:dyDescent="0.25">
      <c r="A75" s="1">
        <v>48003</v>
      </c>
    </row>
    <row r="76" spans="1:26" x14ac:dyDescent="0.25">
      <c r="A76" s="1">
        <v>48004</v>
      </c>
      <c r="B76" t="s">
        <v>1133</v>
      </c>
    </row>
    <row r="77" spans="1:26" x14ac:dyDescent="0.25">
      <c r="A77" s="1">
        <v>48005</v>
      </c>
      <c r="B77" t="s">
        <v>1134</v>
      </c>
    </row>
    <row r="78" spans="1:26" x14ac:dyDescent="0.25">
      <c r="A78" s="1">
        <v>48006</v>
      </c>
      <c r="B78" t="s">
        <v>1135</v>
      </c>
    </row>
    <row r="79" spans="1:26" x14ac:dyDescent="0.25">
      <c r="A79" s="1">
        <v>48007</v>
      </c>
      <c r="B79" t="s">
        <v>1136</v>
      </c>
    </row>
    <row r="80" spans="1:26" x14ac:dyDescent="0.25">
      <c r="A80" s="1">
        <v>48008</v>
      </c>
      <c r="B80" t="s">
        <v>1137</v>
      </c>
    </row>
    <row r="81" spans="1:34" x14ac:dyDescent="0.25">
      <c r="A81" s="1">
        <v>48009</v>
      </c>
    </row>
    <row r="82" spans="1:34" x14ac:dyDescent="0.25">
      <c r="A82" s="1">
        <v>48010</v>
      </c>
    </row>
    <row r="83" spans="1:34" x14ac:dyDescent="0.25">
      <c r="A83" s="1">
        <v>48011</v>
      </c>
    </row>
    <row r="84" spans="1:34" x14ac:dyDescent="0.25">
      <c r="A84" s="1">
        <v>48012</v>
      </c>
    </row>
    <row r="85" spans="1:34" x14ac:dyDescent="0.25">
      <c r="A85" s="1">
        <v>48013</v>
      </c>
    </row>
    <row r="86" spans="1:34" x14ac:dyDescent="0.25">
      <c r="A86" s="1">
        <v>48014</v>
      </c>
    </row>
    <row r="87" spans="1:34" x14ac:dyDescent="0.25">
      <c r="A87" s="1">
        <v>48015</v>
      </c>
    </row>
    <row r="88" spans="1:34" x14ac:dyDescent="0.25">
      <c r="A88" s="1">
        <v>48016</v>
      </c>
      <c r="B88" t="s">
        <v>1138</v>
      </c>
    </row>
    <row r="89" spans="1:34" x14ac:dyDescent="0.25">
      <c r="A89" s="1">
        <v>48017</v>
      </c>
      <c r="B89" t="s">
        <v>1139</v>
      </c>
    </row>
    <row r="90" spans="1:34" x14ac:dyDescent="0.25">
      <c r="A90" s="1">
        <v>48018</v>
      </c>
      <c r="B90" t="s">
        <v>1140</v>
      </c>
    </row>
    <row r="91" spans="1:34" x14ac:dyDescent="0.25">
      <c r="A91" s="1">
        <v>48019</v>
      </c>
      <c r="B91" t="s">
        <v>1141</v>
      </c>
    </row>
    <row r="92" spans="1:34" x14ac:dyDescent="0.25">
      <c r="A92" s="1">
        <v>48020</v>
      </c>
    </row>
    <row r="93" spans="1:34" x14ac:dyDescent="0.25">
      <c r="A93" s="1">
        <v>48999</v>
      </c>
      <c r="B93" t="s">
        <v>1142</v>
      </c>
    </row>
    <row r="94" spans="1:34" x14ac:dyDescent="0.25">
      <c r="A94" s="1">
        <v>49999</v>
      </c>
      <c r="M94" t="s">
        <v>282</v>
      </c>
    </row>
    <row r="95" spans="1:34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1">
        <v>50410</v>
      </c>
      <c r="B96" t="s">
        <v>219</v>
      </c>
      <c r="C96" t="s">
        <v>219</v>
      </c>
      <c r="D96" t="s">
        <v>219</v>
      </c>
      <c r="E96" t="s">
        <v>219</v>
      </c>
      <c r="F96" t="s">
        <v>219</v>
      </c>
      <c r="G96" t="s">
        <v>219</v>
      </c>
      <c r="M96" t="s">
        <v>219</v>
      </c>
      <c r="Q96" t="s">
        <v>219</v>
      </c>
      <c r="R96" t="s">
        <v>219</v>
      </c>
      <c r="U96" t="s">
        <v>219</v>
      </c>
      <c r="V96" t="s">
        <v>219</v>
      </c>
      <c r="W96" t="s">
        <v>219</v>
      </c>
      <c r="X96" t="s">
        <v>219</v>
      </c>
    </row>
    <row r="97" spans="1:24" x14ac:dyDescent="0.25">
      <c r="A97" s="1">
        <v>50411</v>
      </c>
      <c r="B97" t="s">
        <v>220</v>
      </c>
      <c r="C97" t="s">
        <v>220</v>
      </c>
      <c r="D97" t="s">
        <v>220</v>
      </c>
      <c r="E97" t="s">
        <v>220</v>
      </c>
      <c r="F97" t="s">
        <v>220</v>
      </c>
      <c r="G97" t="s">
        <v>220</v>
      </c>
      <c r="M97" t="s">
        <v>220</v>
      </c>
      <c r="R97" t="s">
        <v>220</v>
      </c>
      <c r="U97" t="s">
        <v>220</v>
      </c>
      <c r="V97" t="s">
        <v>220</v>
      </c>
      <c r="W97" t="s">
        <v>220</v>
      </c>
      <c r="X97" t="s">
        <v>220</v>
      </c>
    </row>
    <row r="98" spans="1:24" x14ac:dyDescent="0.25">
      <c r="A98" s="1">
        <v>50412</v>
      </c>
      <c r="R98" t="s">
        <v>422</v>
      </c>
    </row>
    <row r="99" spans="1:24" x14ac:dyDescent="0.25">
      <c r="A99" s="1">
        <v>50415</v>
      </c>
      <c r="B99" t="s">
        <v>286</v>
      </c>
      <c r="C99" t="s">
        <v>286</v>
      </c>
      <c r="D99" t="s">
        <v>286</v>
      </c>
      <c r="E99" t="s">
        <v>286</v>
      </c>
      <c r="F99" t="s">
        <v>286</v>
      </c>
      <c r="G99" t="s">
        <v>286</v>
      </c>
      <c r="M99" t="s">
        <v>286</v>
      </c>
      <c r="Q99" t="s">
        <v>286</v>
      </c>
      <c r="R99" t="s">
        <v>286</v>
      </c>
      <c r="U99" t="s">
        <v>286</v>
      </c>
      <c r="V99" t="s">
        <v>286</v>
      </c>
      <c r="W99" t="s">
        <v>286</v>
      </c>
      <c r="X99" t="s">
        <v>286</v>
      </c>
    </row>
    <row r="100" spans="1:24" x14ac:dyDescent="0.25">
      <c r="A100" s="1">
        <v>50420</v>
      </c>
      <c r="B100" t="s">
        <v>221</v>
      </c>
      <c r="C100" t="s">
        <v>221</v>
      </c>
      <c r="D100" t="s">
        <v>221</v>
      </c>
      <c r="E100" t="s">
        <v>221</v>
      </c>
      <c r="F100" t="s">
        <v>221</v>
      </c>
      <c r="G100" t="s">
        <v>221</v>
      </c>
      <c r="M100" t="s">
        <v>221</v>
      </c>
      <c r="Q100" t="s">
        <v>221</v>
      </c>
      <c r="R100" t="s">
        <v>221</v>
      </c>
      <c r="U100" t="s">
        <v>221</v>
      </c>
      <c r="V100" t="s">
        <v>221</v>
      </c>
      <c r="W100" t="s">
        <v>221</v>
      </c>
      <c r="X100" t="s">
        <v>221</v>
      </c>
    </row>
    <row r="101" spans="1:24" x14ac:dyDescent="0.25">
      <c r="A101" s="1">
        <v>50430</v>
      </c>
      <c r="B101" t="s">
        <v>400</v>
      </c>
      <c r="C101" t="s">
        <v>400</v>
      </c>
      <c r="D101" t="s">
        <v>400</v>
      </c>
      <c r="E101" t="s">
        <v>400</v>
      </c>
      <c r="F101" t="s">
        <v>400</v>
      </c>
      <c r="G101" t="s">
        <v>400</v>
      </c>
      <c r="M101" t="s">
        <v>400</v>
      </c>
      <c r="Q101" t="s">
        <v>400</v>
      </c>
      <c r="R101" t="s">
        <v>400</v>
      </c>
      <c r="U101" t="s">
        <v>400</v>
      </c>
      <c r="V101" t="s">
        <v>400</v>
      </c>
      <c r="W101" t="s">
        <v>400</v>
      </c>
      <c r="X101" t="s">
        <v>400</v>
      </c>
    </row>
    <row r="102" spans="1:24" x14ac:dyDescent="0.25">
      <c r="A102" s="1">
        <v>50432</v>
      </c>
      <c r="B102" t="s">
        <v>401</v>
      </c>
      <c r="C102" t="s">
        <v>401</v>
      </c>
      <c r="D102" t="s">
        <v>401</v>
      </c>
      <c r="E102" t="s">
        <v>401</v>
      </c>
      <c r="F102" t="s">
        <v>401</v>
      </c>
      <c r="G102" t="s">
        <v>401</v>
      </c>
      <c r="M102" t="s">
        <v>401</v>
      </c>
      <c r="Q102" t="s">
        <v>401</v>
      </c>
      <c r="R102" t="s">
        <v>401</v>
      </c>
      <c r="U102" t="s">
        <v>401</v>
      </c>
      <c r="V102" t="s">
        <v>401</v>
      </c>
      <c r="W102" t="s">
        <v>401</v>
      </c>
      <c r="X102" t="s">
        <v>401</v>
      </c>
    </row>
    <row r="103" spans="1:24" x14ac:dyDescent="0.25">
      <c r="A103" s="1">
        <v>50433</v>
      </c>
      <c r="B103" t="s">
        <v>46</v>
      </c>
      <c r="C103" t="s">
        <v>46</v>
      </c>
      <c r="D103" t="s">
        <v>46</v>
      </c>
      <c r="E103" t="s">
        <v>46</v>
      </c>
      <c r="F103" t="s">
        <v>46</v>
      </c>
      <c r="G103" t="s">
        <v>46</v>
      </c>
      <c r="M103" t="s">
        <v>46</v>
      </c>
      <c r="Q103" t="s">
        <v>46</v>
      </c>
      <c r="R103" t="s">
        <v>46</v>
      </c>
      <c r="U103" t="s">
        <v>46</v>
      </c>
      <c r="V103" t="s">
        <v>46</v>
      </c>
      <c r="W103" t="s">
        <v>46</v>
      </c>
      <c r="X103" t="s">
        <v>46</v>
      </c>
    </row>
    <row r="104" spans="1:24" x14ac:dyDescent="0.25">
      <c r="A104" s="1">
        <v>50435</v>
      </c>
      <c r="B104" t="s">
        <v>292</v>
      </c>
      <c r="C104" t="s">
        <v>292</v>
      </c>
      <c r="D104" t="s">
        <v>292</v>
      </c>
      <c r="E104" t="s">
        <v>292</v>
      </c>
      <c r="F104" t="s">
        <v>292</v>
      </c>
      <c r="G104" t="s">
        <v>292</v>
      </c>
      <c r="M104" t="s">
        <v>292</v>
      </c>
      <c r="Q104" t="s">
        <v>292</v>
      </c>
      <c r="R104" t="s">
        <v>292</v>
      </c>
      <c r="U104" t="s">
        <v>292</v>
      </c>
      <c r="W104" t="s">
        <v>292</v>
      </c>
      <c r="X104" t="s">
        <v>292</v>
      </c>
    </row>
    <row r="105" spans="1:24" x14ac:dyDescent="0.25">
      <c r="A105" s="1">
        <v>50437</v>
      </c>
      <c r="R105" t="s">
        <v>429</v>
      </c>
    </row>
    <row r="106" spans="1:24" x14ac:dyDescent="0.25">
      <c r="A106" s="1">
        <v>50500</v>
      </c>
      <c r="M106" t="s">
        <v>294</v>
      </c>
    </row>
    <row r="107" spans="1:24" x14ac:dyDescent="0.25">
      <c r="A107" s="1">
        <v>50502</v>
      </c>
      <c r="V107" t="s">
        <v>557</v>
      </c>
    </row>
    <row r="108" spans="1:24" x14ac:dyDescent="0.25">
      <c r="A108" s="1">
        <v>50505</v>
      </c>
      <c r="B108" t="s">
        <v>296</v>
      </c>
      <c r="M108" t="s">
        <v>296</v>
      </c>
      <c r="Q108" t="s">
        <v>296</v>
      </c>
      <c r="R108" t="s">
        <v>296</v>
      </c>
      <c r="W108" t="s">
        <v>296</v>
      </c>
    </row>
    <row r="109" spans="1:24" x14ac:dyDescent="0.25">
      <c r="A109" s="1">
        <v>50506</v>
      </c>
      <c r="M109" t="s">
        <v>298</v>
      </c>
    </row>
    <row r="110" spans="1:24" x14ac:dyDescent="0.25">
      <c r="A110" s="1">
        <v>50509</v>
      </c>
      <c r="M110" t="s">
        <v>300</v>
      </c>
    </row>
    <row r="111" spans="1:24" x14ac:dyDescent="0.25">
      <c r="A111" s="1">
        <v>50510</v>
      </c>
      <c r="M111" t="s">
        <v>302</v>
      </c>
      <c r="W111" s="5" t="s">
        <v>647</v>
      </c>
    </row>
    <row r="112" spans="1:24" x14ac:dyDescent="0.25">
      <c r="A112" s="1">
        <v>50511</v>
      </c>
      <c r="M112" t="s">
        <v>304</v>
      </c>
    </row>
    <row r="113" spans="1:30" x14ac:dyDescent="0.25">
      <c r="A113" s="1">
        <v>50512</v>
      </c>
      <c r="B113" t="s">
        <v>491</v>
      </c>
    </row>
    <row r="114" spans="1:30" x14ac:dyDescent="0.25">
      <c r="A114" s="1">
        <v>50513</v>
      </c>
      <c r="B114" t="s">
        <v>571</v>
      </c>
      <c r="W114" t="s">
        <v>571</v>
      </c>
    </row>
    <row r="115" spans="1:30" x14ac:dyDescent="0.25">
      <c r="A115" s="1">
        <v>50514</v>
      </c>
      <c r="M115" t="s">
        <v>306</v>
      </c>
    </row>
    <row r="116" spans="1:30" x14ac:dyDescent="0.25">
      <c r="A116" s="1">
        <v>50515</v>
      </c>
      <c r="K116" t="s">
        <v>614</v>
      </c>
    </row>
    <row r="117" spans="1:30" x14ac:dyDescent="0.25">
      <c r="A117" s="1">
        <v>50516</v>
      </c>
      <c r="K117" t="s">
        <v>615</v>
      </c>
    </row>
    <row r="118" spans="1:30" x14ac:dyDescent="0.25">
      <c r="A118" s="1">
        <v>50518</v>
      </c>
      <c r="K118" t="s">
        <v>616</v>
      </c>
      <c r="AD118" t="s">
        <v>616</v>
      </c>
    </row>
    <row r="119" spans="1:30" x14ac:dyDescent="0.25">
      <c r="A119" s="1">
        <v>50520</v>
      </c>
      <c r="K119" t="s">
        <v>617</v>
      </c>
      <c r="AD119" t="s">
        <v>617</v>
      </c>
    </row>
    <row r="120" spans="1:30" x14ac:dyDescent="0.25">
      <c r="A120" s="1">
        <v>50521</v>
      </c>
      <c r="K120" t="s">
        <v>618</v>
      </c>
      <c r="AD120" t="s">
        <v>618</v>
      </c>
    </row>
    <row r="121" spans="1:30" x14ac:dyDescent="0.25">
      <c r="A121" s="1">
        <v>50522</v>
      </c>
      <c r="K121" t="s">
        <v>619</v>
      </c>
      <c r="AD121" t="s">
        <v>619</v>
      </c>
    </row>
    <row r="122" spans="1:30" x14ac:dyDescent="0.25">
      <c r="A122" s="1">
        <v>50523</v>
      </c>
      <c r="K122" t="s">
        <v>620</v>
      </c>
      <c r="AD122" t="s">
        <v>620</v>
      </c>
    </row>
    <row r="123" spans="1:30" x14ac:dyDescent="0.25">
      <c r="A123" s="1">
        <v>50524</v>
      </c>
      <c r="K123" t="s">
        <v>621</v>
      </c>
      <c r="AD123" t="s">
        <v>621</v>
      </c>
    </row>
    <row r="124" spans="1:30" x14ac:dyDescent="0.25">
      <c r="A124" s="1">
        <v>50527</v>
      </c>
      <c r="K124" t="s">
        <v>622</v>
      </c>
    </row>
    <row r="125" spans="1:30" x14ac:dyDescent="0.25">
      <c r="A125" s="1">
        <v>50528</v>
      </c>
      <c r="K125" t="s">
        <v>623</v>
      </c>
    </row>
    <row r="126" spans="1:30" x14ac:dyDescent="0.25">
      <c r="A126" s="1">
        <v>50529</v>
      </c>
      <c r="K126" t="s">
        <v>624</v>
      </c>
      <c r="AD126" t="s">
        <v>624</v>
      </c>
    </row>
    <row r="127" spans="1:30" x14ac:dyDescent="0.25">
      <c r="A127" s="1">
        <v>50530</v>
      </c>
      <c r="K127" t="s">
        <v>625</v>
      </c>
      <c r="AD127" t="s">
        <v>625</v>
      </c>
    </row>
    <row r="128" spans="1:30" x14ac:dyDescent="0.25">
      <c r="A128" s="1">
        <v>50531</v>
      </c>
      <c r="AD128" t="s">
        <v>853</v>
      </c>
    </row>
    <row r="129" spans="1:30" x14ac:dyDescent="0.25">
      <c r="A129" s="1">
        <v>50532</v>
      </c>
      <c r="AD129" t="s">
        <v>855</v>
      </c>
    </row>
    <row r="130" spans="1:30" x14ac:dyDescent="0.25">
      <c r="A130" s="1">
        <v>50533</v>
      </c>
      <c r="K130" t="s">
        <v>626</v>
      </c>
      <c r="AD130" t="s">
        <v>626</v>
      </c>
    </row>
    <row r="131" spans="1:30" x14ac:dyDescent="0.25">
      <c r="A131" s="1">
        <v>50534</v>
      </c>
      <c r="K131" t="s">
        <v>627</v>
      </c>
      <c r="AD131" t="s">
        <v>858</v>
      </c>
    </row>
    <row r="132" spans="1:30" x14ac:dyDescent="0.25">
      <c r="A132" s="1">
        <v>50535</v>
      </c>
      <c r="C132" t="s">
        <v>222</v>
      </c>
      <c r="E132" t="s">
        <v>222</v>
      </c>
      <c r="AD132" t="s">
        <v>860</v>
      </c>
    </row>
    <row r="133" spans="1:30" x14ac:dyDescent="0.25">
      <c r="A133" s="1">
        <v>50536</v>
      </c>
      <c r="K133" t="s">
        <v>628</v>
      </c>
      <c r="AD133" t="s">
        <v>1063</v>
      </c>
    </row>
    <row r="134" spans="1:30" x14ac:dyDescent="0.25">
      <c r="A134" s="1">
        <v>50537</v>
      </c>
      <c r="AD134" t="s">
        <v>1064</v>
      </c>
    </row>
    <row r="135" spans="1:30" x14ac:dyDescent="0.25">
      <c r="A135" s="1">
        <v>50538</v>
      </c>
    </row>
    <row r="136" spans="1:30" x14ac:dyDescent="0.25">
      <c r="A136" s="1">
        <v>50540</v>
      </c>
      <c r="C136" t="s">
        <v>578</v>
      </c>
    </row>
    <row r="137" spans="1:30" x14ac:dyDescent="0.25">
      <c r="A137" s="1">
        <v>50542</v>
      </c>
      <c r="F137" t="s">
        <v>598</v>
      </c>
    </row>
    <row r="138" spans="1:30" x14ac:dyDescent="0.25">
      <c r="A138" s="1">
        <v>50543</v>
      </c>
      <c r="D138" t="s">
        <v>583</v>
      </c>
      <c r="E138" t="s">
        <v>583</v>
      </c>
    </row>
    <row r="139" spans="1:30" x14ac:dyDescent="0.25">
      <c r="A139" s="1">
        <v>50545</v>
      </c>
      <c r="B139" t="s">
        <v>308</v>
      </c>
      <c r="D139" t="s">
        <v>308</v>
      </c>
      <c r="M139" t="s">
        <v>308</v>
      </c>
      <c r="Q139" t="s">
        <v>308</v>
      </c>
      <c r="R139" t="s">
        <v>308</v>
      </c>
      <c r="W139" t="s">
        <v>308</v>
      </c>
    </row>
    <row r="140" spans="1:30" x14ac:dyDescent="0.25">
      <c r="A140" s="1">
        <v>50548</v>
      </c>
      <c r="C140" t="s">
        <v>223</v>
      </c>
      <c r="D140" t="s">
        <v>223</v>
      </c>
      <c r="E140" t="s">
        <v>223</v>
      </c>
      <c r="F140" t="s">
        <v>223</v>
      </c>
      <c r="R140" t="s">
        <v>223</v>
      </c>
      <c r="U140" t="s">
        <v>223</v>
      </c>
      <c r="V140" t="s">
        <v>223</v>
      </c>
    </row>
    <row r="141" spans="1:30" x14ac:dyDescent="0.25">
      <c r="A141" s="1">
        <v>50549</v>
      </c>
      <c r="D141" t="s">
        <v>516</v>
      </c>
      <c r="F141" t="s">
        <v>516</v>
      </c>
    </row>
    <row r="142" spans="1:30" x14ac:dyDescent="0.25">
      <c r="A142" s="1">
        <v>50550</v>
      </c>
      <c r="D142" t="s">
        <v>584</v>
      </c>
      <c r="F142" t="s">
        <v>584</v>
      </c>
    </row>
    <row r="143" spans="1:30" x14ac:dyDescent="0.25">
      <c r="A143" s="1">
        <v>50555</v>
      </c>
      <c r="C143" t="s">
        <v>579</v>
      </c>
      <c r="D143" t="s">
        <v>579</v>
      </c>
      <c r="E143" t="s">
        <v>579</v>
      </c>
      <c r="F143" t="s">
        <v>599</v>
      </c>
    </row>
    <row r="144" spans="1:30" x14ac:dyDescent="0.25">
      <c r="A144" s="1">
        <v>50560</v>
      </c>
      <c r="C144" t="s">
        <v>514</v>
      </c>
    </row>
    <row r="145" spans="1:23" x14ac:dyDescent="0.25">
      <c r="A145" s="1">
        <v>50564</v>
      </c>
      <c r="M145" t="s">
        <v>310</v>
      </c>
    </row>
    <row r="146" spans="1:23" x14ac:dyDescent="0.25">
      <c r="A146" s="1">
        <v>50565</v>
      </c>
      <c r="M146" t="s">
        <v>312</v>
      </c>
    </row>
    <row r="147" spans="1:23" x14ac:dyDescent="0.25">
      <c r="A147" s="1">
        <v>50566</v>
      </c>
      <c r="M147" t="s">
        <v>1293</v>
      </c>
    </row>
    <row r="148" spans="1:23" x14ac:dyDescent="0.25">
      <c r="A148" s="1">
        <v>50567</v>
      </c>
      <c r="B148" t="s">
        <v>1002</v>
      </c>
    </row>
    <row r="149" spans="1:23" x14ac:dyDescent="0.25">
      <c r="A149" s="1">
        <v>50568</v>
      </c>
      <c r="M149" t="s">
        <v>314</v>
      </c>
    </row>
    <row r="150" spans="1:23" x14ac:dyDescent="0.25">
      <c r="A150" s="1">
        <v>50569</v>
      </c>
      <c r="B150" t="s">
        <v>1003</v>
      </c>
    </row>
    <row r="151" spans="1:23" x14ac:dyDescent="0.25">
      <c r="A151" s="1">
        <v>50570</v>
      </c>
      <c r="M151" t="s">
        <v>316</v>
      </c>
      <c r="R151" t="s">
        <v>316</v>
      </c>
      <c r="U151" t="s">
        <v>316</v>
      </c>
    </row>
    <row r="152" spans="1:23" x14ac:dyDescent="0.25">
      <c r="A152" s="1">
        <v>50575</v>
      </c>
      <c r="B152" t="s">
        <v>318</v>
      </c>
      <c r="M152" t="s">
        <v>318</v>
      </c>
      <c r="Q152" t="s">
        <v>318</v>
      </c>
      <c r="R152" t="s">
        <v>318</v>
      </c>
      <c r="U152" t="s">
        <v>318</v>
      </c>
      <c r="W152" t="s">
        <v>318</v>
      </c>
    </row>
    <row r="153" spans="1:23" x14ac:dyDescent="0.25">
      <c r="A153" s="1">
        <v>50576</v>
      </c>
      <c r="M153" t="s">
        <v>633</v>
      </c>
      <c r="R153" t="s">
        <v>633</v>
      </c>
      <c r="U153" t="s">
        <v>633</v>
      </c>
      <c r="W153" t="s">
        <v>633</v>
      </c>
    </row>
    <row r="154" spans="1:23" x14ac:dyDescent="0.25">
      <c r="A154" s="1">
        <v>50581</v>
      </c>
      <c r="B154" t="s">
        <v>499</v>
      </c>
    </row>
    <row r="155" spans="1:23" x14ac:dyDescent="0.25">
      <c r="A155" s="1">
        <v>50582</v>
      </c>
      <c r="B155" t="s">
        <v>492</v>
      </c>
      <c r="W155" t="s">
        <v>492</v>
      </c>
    </row>
    <row r="156" spans="1:23" x14ac:dyDescent="0.25">
      <c r="A156" s="1">
        <v>50583</v>
      </c>
      <c r="B156" t="s">
        <v>572</v>
      </c>
    </row>
    <row r="157" spans="1:23" x14ac:dyDescent="0.25">
      <c r="A157" s="1">
        <v>50585</v>
      </c>
      <c r="B157" t="s">
        <v>321</v>
      </c>
      <c r="M157" t="s">
        <v>321</v>
      </c>
    </row>
    <row r="158" spans="1:23" x14ac:dyDescent="0.25">
      <c r="A158" s="1">
        <v>50586</v>
      </c>
      <c r="B158" t="s">
        <v>500</v>
      </c>
    </row>
    <row r="159" spans="1:23" x14ac:dyDescent="0.25">
      <c r="A159" s="1">
        <v>50587</v>
      </c>
      <c r="B159" t="s">
        <v>501</v>
      </c>
    </row>
    <row r="160" spans="1:23" x14ac:dyDescent="0.25">
      <c r="A160" s="1">
        <v>50589</v>
      </c>
      <c r="B160" t="s">
        <v>502</v>
      </c>
    </row>
    <row r="161" spans="1:24" x14ac:dyDescent="0.25">
      <c r="A161" s="1">
        <v>50590</v>
      </c>
      <c r="B161" t="s">
        <v>493</v>
      </c>
      <c r="W161" t="s">
        <v>493</v>
      </c>
      <c r="X161" t="s">
        <v>493</v>
      </c>
    </row>
    <row r="162" spans="1:24" x14ac:dyDescent="0.25">
      <c r="A162" s="1">
        <v>50591</v>
      </c>
      <c r="M162" t="s">
        <v>323</v>
      </c>
      <c r="R162" t="s">
        <v>323</v>
      </c>
    </row>
    <row r="163" spans="1:24" x14ac:dyDescent="0.25">
      <c r="A163" s="1">
        <v>50592</v>
      </c>
      <c r="B163" t="s">
        <v>325</v>
      </c>
      <c r="C163" t="s">
        <v>325</v>
      </c>
      <c r="D163" t="s">
        <v>325</v>
      </c>
      <c r="E163" t="s">
        <v>325</v>
      </c>
      <c r="F163" t="s">
        <v>325</v>
      </c>
      <c r="M163" t="s">
        <v>325</v>
      </c>
      <c r="Q163" t="s">
        <v>325</v>
      </c>
      <c r="R163" t="s">
        <v>325</v>
      </c>
      <c r="U163" t="s">
        <v>325</v>
      </c>
      <c r="V163" t="s">
        <v>325</v>
      </c>
      <c r="W163" t="s">
        <v>325</v>
      </c>
      <c r="X163" t="s">
        <v>325</v>
      </c>
    </row>
    <row r="164" spans="1:24" x14ac:dyDescent="0.25">
      <c r="A164" s="1">
        <v>50593</v>
      </c>
      <c r="B164" t="s">
        <v>327</v>
      </c>
      <c r="D164" t="s">
        <v>327</v>
      </c>
      <c r="F164" t="s">
        <v>327</v>
      </c>
      <c r="M164" t="s">
        <v>327</v>
      </c>
      <c r="Q164" t="s">
        <v>327</v>
      </c>
      <c r="R164" t="s">
        <v>327</v>
      </c>
      <c r="U164" t="s">
        <v>327</v>
      </c>
      <c r="V164" t="s">
        <v>327</v>
      </c>
      <c r="W164" t="s">
        <v>327</v>
      </c>
      <c r="X164" t="s">
        <v>327</v>
      </c>
    </row>
    <row r="165" spans="1:24" x14ac:dyDescent="0.25">
      <c r="A165" s="1">
        <v>50594</v>
      </c>
      <c r="R165" t="s">
        <v>438</v>
      </c>
    </row>
    <row r="166" spans="1:24" x14ac:dyDescent="0.25">
      <c r="A166" s="1">
        <v>50595</v>
      </c>
      <c r="C166" t="s">
        <v>328</v>
      </c>
      <c r="D166" t="s">
        <v>328</v>
      </c>
      <c r="E166" t="s">
        <v>328</v>
      </c>
      <c r="F166" t="s">
        <v>328</v>
      </c>
      <c r="M166" t="s">
        <v>328</v>
      </c>
      <c r="R166" t="s">
        <v>328</v>
      </c>
      <c r="U166" t="s">
        <v>328</v>
      </c>
      <c r="V166" t="s">
        <v>328</v>
      </c>
      <c r="W166" t="s">
        <v>328</v>
      </c>
      <c r="X166" t="s">
        <v>328</v>
      </c>
    </row>
    <row r="167" spans="1:24" x14ac:dyDescent="0.25">
      <c r="A167" s="1">
        <v>50596</v>
      </c>
      <c r="B167" t="s">
        <v>330</v>
      </c>
      <c r="M167" t="s">
        <v>330</v>
      </c>
    </row>
    <row r="168" spans="1:24" x14ac:dyDescent="0.25">
      <c r="A168" s="1">
        <v>50597</v>
      </c>
      <c r="M168" t="s">
        <v>332</v>
      </c>
    </row>
    <row r="169" spans="1:24" x14ac:dyDescent="0.25">
      <c r="A169" s="1">
        <v>50598</v>
      </c>
      <c r="B169" t="s">
        <v>224</v>
      </c>
      <c r="C169" t="s">
        <v>224</v>
      </c>
      <c r="D169" t="s">
        <v>224</v>
      </c>
      <c r="E169" t="s">
        <v>224</v>
      </c>
      <c r="F169" t="s">
        <v>224</v>
      </c>
      <c r="M169" t="s">
        <v>224</v>
      </c>
      <c r="R169" t="s">
        <v>224</v>
      </c>
    </row>
    <row r="170" spans="1:24" x14ac:dyDescent="0.25">
      <c r="A170" s="1">
        <v>50599</v>
      </c>
      <c r="G170" t="s">
        <v>605</v>
      </c>
    </row>
    <row r="171" spans="1:24" x14ac:dyDescent="0.25">
      <c r="A171" s="1">
        <v>50600</v>
      </c>
      <c r="G171" t="s">
        <v>606</v>
      </c>
    </row>
    <row r="172" spans="1:24" x14ac:dyDescent="0.25">
      <c r="A172" s="1">
        <v>50605</v>
      </c>
      <c r="G172" t="s">
        <v>607</v>
      </c>
    </row>
    <row r="173" spans="1:24" x14ac:dyDescent="0.25">
      <c r="A173" s="1">
        <v>50606</v>
      </c>
      <c r="G173" t="s">
        <v>608</v>
      </c>
    </row>
    <row r="174" spans="1:24" x14ac:dyDescent="0.25">
      <c r="A174" s="1">
        <v>50610</v>
      </c>
      <c r="M174" t="s">
        <v>334</v>
      </c>
    </row>
    <row r="175" spans="1:24" x14ac:dyDescent="0.25">
      <c r="A175" s="1">
        <v>50611</v>
      </c>
      <c r="M175" t="s">
        <v>336</v>
      </c>
    </row>
    <row r="176" spans="1:24" x14ac:dyDescent="0.25">
      <c r="A176" s="1">
        <v>50615</v>
      </c>
      <c r="U176" t="s">
        <v>636</v>
      </c>
    </row>
    <row r="177" spans="1:24" x14ac:dyDescent="0.25">
      <c r="A177" s="1">
        <v>50616</v>
      </c>
      <c r="U177" t="s">
        <v>637</v>
      </c>
    </row>
    <row r="178" spans="1:24" x14ac:dyDescent="0.25">
      <c r="A178" s="1">
        <v>50620</v>
      </c>
      <c r="M178" t="s">
        <v>338</v>
      </c>
    </row>
    <row r="179" spans="1:24" x14ac:dyDescent="0.25">
      <c r="A179" s="1">
        <v>50625</v>
      </c>
      <c r="M179" t="s">
        <v>340</v>
      </c>
    </row>
    <row r="180" spans="1:24" x14ac:dyDescent="0.25">
      <c r="A180" s="1">
        <v>50630</v>
      </c>
      <c r="B180" t="s">
        <v>342</v>
      </c>
      <c r="I180" t="s">
        <v>342</v>
      </c>
      <c r="M180" t="s">
        <v>342</v>
      </c>
      <c r="R180" t="s">
        <v>342</v>
      </c>
      <c r="W180" t="s">
        <v>342</v>
      </c>
      <c r="X180" t="s">
        <v>342</v>
      </c>
    </row>
    <row r="181" spans="1:24" x14ac:dyDescent="0.25">
      <c r="A181" s="1">
        <v>50640</v>
      </c>
      <c r="C181" t="s">
        <v>443</v>
      </c>
      <c r="D181" t="s">
        <v>443</v>
      </c>
      <c r="E181" t="s">
        <v>443</v>
      </c>
      <c r="F181" t="s">
        <v>443</v>
      </c>
      <c r="R181" t="s">
        <v>443</v>
      </c>
      <c r="U181" t="s">
        <v>443</v>
      </c>
    </row>
    <row r="182" spans="1:24" x14ac:dyDescent="0.25">
      <c r="A182" s="1">
        <v>50641</v>
      </c>
      <c r="C182" t="s">
        <v>1022</v>
      </c>
      <c r="E182" t="s">
        <v>1022</v>
      </c>
    </row>
    <row r="183" spans="1:24" x14ac:dyDescent="0.25">
      <c r="A183" s="1">
        <v>50645</v>
      </c>
      <c r="D183" t="s">
        <v>585</v>
      </c>
      <c r="F183" t="s">
        <v>585</v>
      </c>
    </row>
    <row r="184" spans="1:24" x14ac:dyDescent="0.25">
      <c r="A184" s="1">
        <v>50646</v>
      </c>
      <c r="F184" t="s">
        <v>229</v>
      </c>
    </row>
    <row r="185" spans="1:24" x14ac:dyDescent="0.25">
      <c r="A185" s="1">
        <v>50647</v>
      </c>
      <c r="D185" t="s">
        <v>1040</v>
      </c>
    </row>
    <row r="186" spans="1:24" x14ac:dyDescent="0.25">
      <c r="A186" s="1">
        <v>50650</v>
      </c>
      <c r="B186" t="s">
        <v>343</v>
      </c>
      <c r="D186" t="s">
        <v>343</v>
      </c>
      <c r="M186" t="s">
        <v>343</v>
      </c>
      <c r="R186" t="s">
        <v>343</v>
      </c>
    </row>
    <row r="187" spans="1:24" x14ac:dyDescent="0.25">
      <c r="A187" s="1">
        <v>50651</v>
      </c>
      <c r="D187" t="s">
        <v>586</v>
      </c>
    </row>
    <row r="188" spans="1:24" x14ac:dyDescent="0.25">
      <c r="A188" s="1">
        <v>50670</v>
      </c>
      <c r="F188" t="s">
        <v>600</v>
      </c>
    </row>
    <row r="189" spans="1:24" x14ac:dyDescent="0.25">
      <c r="A189" s="1">
        <v>50674</v>
      </c>
      <c r="G189" t="s">
        <v>609</v>
      </c>
    </row>
    <row r="190" spans="1:24" x14ac:dyDescent="0.25">
      <c r="A190" s="1">
        <v>50675</v>
      </c>
      <c r="C190" t="s">
        <v>580</v>
      </c>
      <c r="E190" t="s">
        <v>580</v>
      </c>
      <c r="F190" t="s">
        <v>580</v>
      </c>
    </row>
    <row r="191" spans="1:24" x14ac:dyDescent="0.25">
      <c r="A191" s="1">
        <v>50676</v>
      </c>
      <c r="G191" t="s">
        <v>610</v>
      </c>
    </row>
    <row r="192" spans="1:24" x14ac:dyDescent="0.25">
      <c r="A192" s="1">
        <v>50685</v>
      </c>
      <c r="C192" t="s">
        <v>445</v>
      </c>
      <c r="D192" t="s">
        <v>445</v>
      </c>
      <c r="E192" t="s">
        <v>445</v>
      </c>
      <c r="F192" t="s">
        <v>445</v>
      </c>
      <c r="R192" t="s">
        <v>445</v>
      </c>
      <c r="U192" t="s">
        <v>445</v>
      </c>
      <c r="V192" t="s">
        <v>445</v>
      </c>
      <c r="W192" t="s">
        <v>445</v>
      </c>
      <c r="X192" t="s">
        <v>445</v>
      </c>
    </row>
    <row r="193" spans="1:24" x14ac:dyDescent="0.25">
      <c r="A193" s="1">
        <v>50686</v>
      </c>
      <c r="U193" t="s">
        <v>638</v>
      </c>
    </row>
    <row r="194" spans="1:24" x14ac:dyDescent="0.25">
      <c r="A194" s="1">
        <v>50715</v>
      </c>
      <c r="C194" t="s">
        <v>515</v>
      </c>
      <c r="D194" t="s">
        <v>587</v>
      </c>
      <c r="F194" t="s">
        <v>601</v>
      </c>
    </row>
    <row r="195" spans="1:24" x14ac:dyDescent="0.25">
      <c r="A195" s="1">
        <v>50725</v>
      </c>
      <c r="C195" t="s">
        <v>581</v>
      </c>
      <c r="D195" t="s">
        <v>581</v>
      </c>
      <c r="F195" t="s">
        <v>581</v>
      </c>
    </row>
    <row r="196" spans="1:24" x14ac:dyDescent="0.25">
      <c r="A196" s="1">
        <v>50726</v>
      </c>
      <c r="D196" t="s">
        <v>230</v>
      </c>
      <c r="F196" t="s">
        <v>230</v>
      </c>
    </row>
    <row r="197" spans="1:24" x14ac:dyDescent="0.25">
      <c r="A197" s="1">
        <v>50730</v>
      </c>
      <c r="D197" t="s">
        <v>588</v>
      </c>
      <c r="F197" t="s">
        <v>588</v>
      </c>
    </row>
    <row r="198" spans="1:24" x14ac:dyDescent="0.25">
      <c r="A198" s="1">
        <v>50742</v>
      </c>
      <c r="E198" t="s">
        <v>226</v>
      </c>
    </row>
    <row r="199" spans="1:24" x14ac:dyDescent="0.25">
      <c r="A199" s="1">
        <v>50753</v>
      </c>
      <c r="B199" t="s">
        <v>345</v>
      </c>
      <c r="M199" t="s">
        <v>345</v>
      </c>
      <c r="W199" t="s">
        <v>345</v>
      </c>
    </row>
    <row r="200" spans="1:24" x14ac:dyDescent="0.25">
      <c r="A200" s="1">
        <v>50755</v>
      </c>
      <c r="B200" t="s">
        <v>503</v>
      </c>
      <c r="D200" t="s">
        <v>503</v>
      </c>
    </row>
    <row r="201" spans="1:24" x14ac:dyDescent="0.25">
      <c r="A201" s="1">
        <v>50760</v>
      </c>
      <c r="U201" t="s">
        <v>639</v>
      </c>
    </row>
    <row r="202" spans="1:24" x14ac:dyDescent="0.25">
      <c r="A202" s="1">
        <v>50765</v>
      </c>
      <c r="B202" t="s">
        <v>347</v>
      </c>
      <c r="C202" t="s">
        <v>347</v>
      </c>
      <c r="D202" t="s">
        <v>347</v>
      </c>
      <c r="E202" t="s">
        <v>347</v>
      </c>
      <c r="F202" t="s">
        <v>347</v>
      </c>
      <c r="M202" t="s">
        <v>347</v>
      </c>
      <c r="Q202" t="s">
        <v>347</v>
      </c>
      <c r="R202" t="s">
        <v>347</v>
      </c>
      <c r="U202" t="s">
        <v>347</v>
      </c>
      <c r="V202" t="s">
        <v>347</v>
      </c>
      <c r="W202" t="s">
        <v>347</v>
      </c>
      <c r="X202" t="s">
        <v>347</v>
      </c>
    </row>
    <row r="203" spans="1:24" x14ac:dyDescent="0.25">
      <c r="A203" s="1">
        <v>50766</v>
      </c>
      <c r="B203" t="s">
        <v>227</v>
      </c>
      <c r="C203" t="s">
        <v>227</v>
      </c>
      <c r="E203" t="s">
        <v>227</v>
      </c>
      <c r="M203" t="s">
        <v>227</v>
      </c>
      <c r="Q203" t="s">
        <v>227</v>
      </c>
      <c r="R203" t="s">
        <v>227</v>
      </c>
      <c r="U203" t="s">
        <v>227</v>
      </c>
      <c r="V203" t="s">
        <v>227</v>
      </c>
    </row>
    <row r="204" spans="1:24" x14ac:dyDescent="0.25">
      <c r="A204" s="1">
        <v>50775</v>
      </c>
      <c r="B204" t="s">
        <v>228</v>
      </c>
      <c r="C204" t="s">
        <v>228</v>
      </c>
      <c r="E204" t="s">
        <v>228</v>
      </c>
      <c r="M204" t="s">
        <v>228</v>
      </c>
      <c r="R204" t="s">
        <v>228</v>
      </c>
      <c r="U204" t="s">
        <v>228</v>
      </c>
    </row>
    <row r="205" spans="1:24" x14ac:dyDescent="0.25">
      <c r="A205" s="1">
        <v>50777</v>
      </c>
      <c r="W205" t="s">
        <v>648</v>
      </c>
    </row>
    <row r="206" spans="1:24" x14ac:dyDescent="0.25">
      <c r="A206" s="1">
        <v>50780</v>
      </c>
      <c r="B206" t="s">
        <v>351</v>
      </c>
      <c r="C206" t="s">
        <v>351</v>
      </c>
      <c r="D206" t="s">
        <v>351</v>
      </c>
      <c r="E206" t="s">
        <v>351</v>
      </c>
      <c r="F206" t="s">
        <v>351</v>
      </c>
      <c r="M206" t="s">
        <v>351</v>
      </c>
      <c r="N206" t="s">
        <v>351</v>
      </c>
      <c r="P206" t="s">
        <v>351</v>
      </c>
      <c r="R206" t="s">
        <v>351</v>
      </c>
      <c r="U206" t="s">
        <v>351</v>
      </c>
      <c r="W206" t="s">
        <v>351</v>
      </c>
    </row>
    <row r="207" spans="1:24" x14ac:dyDescent="0.25">
      <c r="A207" s="1">
        <v>50781</v>
      </c>
      <c r="M207" t="s">
        <v>353</v>
      </c>
    </row>
    <row r="208" spans="1:24" x14ac:dyDescent="0.25">
      <c r="A208" s="1">
        <v>50785</v>
      </c>
      <c r="C208" t="s">
        <v>582</v>
      </c>
      <c r="D208" t="s">
        <v>582</v>
      </c>
      <c r="E208" t="s">
        <v>582</v>
      </c>
      <c r="F208" t="s">
        <v>582</v>
      </c>
      <c r="G208" t="s">
        <v>582</v>
      </c>
    </row>
    <row r="209" spans="1:32" x14ac:dyDescent="0.25">
      <c r="A209" s="1">
        <v>50800</v>
      </c>
      <c r="B209" t="s">
        <v>450</v>
      </c>
      <c r="C209" t="s">
        <v>450</v>
      </c>
      <c r="D209" t="s">
        <v>450</v>
      </c>
      <c r="E209" t="s">
        <v>450</v>
      </c>
      <c r="F209" t="s">
        <v>450</v>
      </c>
      <c r="R209" t="s">
        <v>450</v>
      </c>
      <c r="U209" t="s">
        <v>450</v>
      </c>
    </row>
    <row r="210" spans="1:32" x14ac:dyDescent="0.25">
      <c r="A210" s="1">
        <v>50810</v>
      </c>
      <c r="B210" t="s">
        <v>218</v>
      </c>
      <c r="D210" t="s">
        <v>218</v>
      </c>
      <c r="E210" t="s">
        <v>218</v>
      </c>
      <c r="F210" t="s">
        <v>218</v>
      </c>
      <c r="M210" t="s">
        <v>218</v>
      </c>
    </row>
    <row r="211" spans="1:32" x14ac:dyDescent="0.25">
      <c r="A211" s="1">
        <v>50811</v>
      </c>
      <c r="R211" t="s">
        <v>452</v>
      </c>
    </row>
    <row r="212" spans="1:32" x14ac:dyDescent="0.25">
      <c r="A212" s="1">
        <v>50812</v>
      </c>
      <c r="M212" t="s">
        <v>985</v>
      </c>
      <c r="W212" t="s">
        <v>985</v>
      </c>
    </row>
    <row r="213" spans="1:32" x14ac:dyDescent="0.25">
      <c r="A213" s="1">
        <v>50820</v>
      </c>
      <c r="M213" t="s">
        <v>1314</v>
      </c>
      <c r="AE213" t="s">
        <v>1314</v>
      </c>
    </row>
    <row r="214" spans="1:32" x14ac:dyDescent="0.25">
      <c r="A214" s="1">
        <v>50821</v>
      </c>
      <c r="M214" t="s">
        <v>1315</v>
      </c>
      <c r="AF214" t="s">
        <v>1315</v>
      </c>
    </row>
    <row r="215" spans="1:32" x14ac:dyDescent="0.25">
      <c r="A215" s="1">
        <v>50822</v>
      </c>
      <c r="M215" t="s">
        <v>1316</v>
      </c>
    </row>
    <row r="216" spans="1:32" x14ac:dyDescent="0.25">
      <c r="A216" s="1">
        <v>50823</v>
      </c>
      <c r="M216" t="s">
        <v>1317</v>
      </c>
    </row>
    <row r="217" spans="1:32" x14ac:dyDescent="0.25">
      <c r="A217" s="1">
        <v>50824</v>
      </c>
      <c r="M217" t="s">
        <v>1318</v>
      </c>
    </row>
    <row r="218" spans="1:32" x14ac:dyDescent="0.25">
      <c r="A218" s="1">
        <v>50825</v>
      </c>
      <c r="B218" t="s">
        <v>504</v>
      </c>
    </row>
    <row r="219" spans="1:32" x14ac:dyDescent="0.25">
      <c r="A219" s="1">
        <v>50826</v>
      </c>
      <c r="M219" t="s">
        <v>360</v>
      </c>
    </row>
    <row r="220" spans="1:32" x14ac:dyDescent="0.25">
      <c r="A220" s="1">
        <v>50828</v>
      </c>
      <c r="W220" t="s">
        <v>649</v>
      </c>
    </row>
    <row r="221" spans="1:32" x14ac:dyDescent="0.25">
      <c r="A221" s="1">
        <v>50829</v>
      </c>
      <c r="R221" t="s">
        <v>454</v>
      </c>
      <c r="U221" t="s">
        <v>454</v>
      </c>
    </row>
    <row r="222" spans="1:32" x14ac:dyDescent="0.25">
      <c r="A222" s="1">
        <v>50830</v>
      </c>
      <c r="B222" t="s">
        <v>217</v>
      </c>
      <c r="C222" t="s">
        <v>217</v>
      </c>
      <c r="D222" t="s">
        <v>217</v>
      </c>
      <c r="E222" t="s">
        <v>217</v>
      </c>
      <c r="F222" t="s">
        <v>217</v>
      </c>
      <c r="Q222" t="s">
        <v>217</v>
      </c>
      <c r="R222" t="s">
        <v>217</v>
      </c>
      <c r="U222" t="s">
        <v>217</v>
      </c>
      <c r="V222" t="s">
        <v>217</v>
      </c>
      <c r="W222" t="s">
        <v>217</v>
      </c>
      <c r="X222" t="s">
        <v>217</v>
      </c>
    </row>
    <row r="223" spans="1:32" x14ac:dyDescent="0.25">
      <c r="A223" s="1">
        <v>50831</v>
      </c>
      <c r="M223" t="s">
        <v>362</v>
      </c>
    </row>
    <row r="224" spans="1:32" x14ac:dyDescent="0.25">
      <c r="A224" s="1">
        <v>50832</v>
      </c>
      <c r="W224" t="s">
        <v>650</v>
      </c>
    </row>
    <row r="225" spans="1:24" x14ac:dyDescent="0.25">
      <c r="A225" s="1">
        <v>50835</v>
      </c>
      <c r="B225" t="s">
        <v>573</v>
      </c>
    </row>
    <row r="226" spans="1:24" x14ac:dyDescent="0.25">
      <c r="A226" s="1">
        <v>50840</v>
      </c>
      <c r="B226" t="s">
        <v>248</v>
      </c>
    </row>
    <row r="227" spans="1:24" x14ac:dyDescent="0.25">
      <c r="A227" s="1">
        <v>50841</v>
      </c>
      <c r="M227" t="s">
        <v>364</v>
      </c>
    </row>
    <row r="228" spans="1:24" x14ac:dyDescent="0.25">
      <c r="A228" s="1">
        <v>50842</v>
      </c>
      <c r="M228" t="s">
        <v>366</v>
      </c>
    </row>
    <row r="229" spans="1:24" x14ac:dyDescent="0.25">
      <c r="A229" s="1">
        <v>50843</v>
      </c>
      <c r="M229" t="s">
        <v>368</v>
      </c>
    </row>
    <row r="230" spans="1:24" x14ac:dyDescent="0.25">
      <c r="A230" s="1">
        <v>50844</v>
      </c>
      <c r="M230" t="s">
        <v>518</v>
      </c>
    </row>
    <row r="231" spans="1:24" x14ac:dyDescent="0.25">
      <c r="A231" s="1">
        <v>50853</v>
      </c>
      <c r="X231" t="s">
        <v>657</v>
      </c>
    </row>
    <row r="232" spans="1:24" x14ac:dyDescent="0.25">
      <c r="A232" s="1">
        <v>50854</v>
      </c>
      <c r="X232" t="s">
        <v>658</v>
      </c>
    </row>
    <row r="233" spans="1:24" x14ac:dyDescent="0.25">
      <c r="A233" s="1">
        <v>50855</v>
      </c>
      <c r="X233" t="s">
        <v>659</v>
      </c>
    </row>
    <row r="234" spans="1:24" x14ac:dyDescent="0.25">
      <c r="A234" s="1">
        <v>50856</v>
      </c>
      <c r="X234" t="s">
        <v>660</v>
      </c>
    </row>
    <row r="235" spans="1:24" x14ac:dyDescent="0.25">
      <c r="A235" s="1">
        <v>50857</v>
      </c>
      <c r="X235" t="s">
        <v>661</v>
      </c>
    </row>
    <row r="236" spans="1:24" x14ac:dyDescent="0.25">
      <c r="A236" s="1">
        <v>50858</v>
      </c>
      <c r="X236" t="s">
        <v>662</v>
      </c>
    </row>
    <row r="237" spans="1:24" x14ac:dyDescent="0.25">
      <c r="A237" s="1">
        <v>50859</v>
      </c>
      <c r="X237" t="s">
        <v>663</v>
      </c>
    </row>
    <row r="238" spans="1:24" x14ac:dyDescent="0.25">
      <c r="A238" s="1">
        <v>50860</v>
      </c>
      <c r="X238" t="s">
        <v>664</v>
      </c>
    </row>
    <row r="239" spans="1:24" x14ac:dyDescent="0.25">
      <c r="A239" s="1">
        <v>50861</v>
      </c>
      <c r="M239" t="s">
        <v>372</v>
      </c>
    </row>
    <row r="240" spans="1:24" x14ac:dyDescent="0.25">
      <c r="A240" s="1">
        <v>50862</v>
      </c>
      <c r="V240" t="s">
        <v>566</v>
      </c>
    </row>
    <row r="241" spans="1:25" x14ac:dyDescent="0.25">
      <c r="A241" s="1">
        <v>50865</v>
      </c>
      <c r="M241" t="s">
        <v>373</v>
      </c>
      <c r="X241" t="s">
        <v>373</v>
      </c>
    </row>
    <row r="242" spans="1:25" x14ac:dyDescent="0.25">
      <c r="A242" s="1">
        <v>50866</v>
      </c>
      <c r="M242" t="s">
        <v>375</v>
      </c>
    </row>
    <row r="243" spans="1:25" x14ac:dyDescent="0.25">
      <c r="A243" s="1">
        <v>50867</v>
      </c>
      <c r="M243" t="s">
        <v>377</v>
      </c>
      <c r="X243" t="s">
        <v>377</v>
      </c>
    </row>
    <row r="244" spans="1:25" x14ac:dyDescent="0.25">
      <c r="A244" s="1">
        <v>50868</v>
      </c>
      <c r="M244" t="s">
        <v>379</v>
      </c>
      <c r="U244" s="5" t="s">
        <v>544</v>
      </c>
      <c r="X244" t="s">
        <v>379</v>
      </c>
    </row>
    <row r="245" spans="1:25" x14ac:dyDescent="0.25">
      <c r="A245" s="1">
        <v>50870</v>
      </c>
      <c r="M245" t="s">
        <v>381</v>
      </c>
    </row>
    <row r="246" spans="1:25" x14ac:dyDescent="0.25">
      <c r="A246" s="1">
        <v>50871</v>
      </c>
      <c r="M246" t="s">
        <v>383</v>
      </c>
    </row>
    <row r="247" spans="1:25" x14ac:dyDescent="0.25">
      <c r="A247" s="1">
        <v>50872</v>
      </c>
      <c r="M247" t="s">
        <v>385</v>
      </c>
      <c r="X247" t="s">
        <v>385</v>
      </c>
    </row>
    <row r="248" spans="1:25" x14ac:dyDescent="0.25">
      <c r="A248" s="1">
        <v>50873</v>
      </c>
      <c r="M248" t="s">
        <v>387</v>
      </c>
    </row>
    <row r="249" spans="1:25" x14ac:dyDescent="0.25">
      <c r="A249" s="1">
        <v>50955</v>
      </c>
      <c r="D249" t="s">
        <v>240</v>
      </c>
      <c r="K249" s="5" t="s">
        <v>629</v>
      </c>
      <c r="L249" t="s">
        <v>240</v>
      </c>
      <c r="M249" t="s">
        <v>240</v>
      </c>
      <c r="Q249" t="s">
        <v>240</v>
      </c>
      <c r="R249" t="s">
        <v>240</v>
      </c>
      <c r="U249" t="s">
        <v>240</v>
      </c>
      <c r="X249" t="s">
        <v>240</v>
      </c>
    </row>
    <row r="250" spans="1:25" x14ac:dyDescent="0.25">
      <c r="A250" s="1">
        <v>50956</v>
      </c>
      <c r="L250" t="s">
        <v>241</v>
      </c>
      <c r="R250" t="s">
        <v>241</v>
      </c>
      <c r="U250" t="s">
        <v>241</v>
      </c>
      <c r="W250" s="5" t="s">
        <v>651</v>
      </c>
      <c r="X250" t="s">
        <v>241</v>
      </c>
    </row>
    <row r="251" spans="1:25" x14ac:dyDescent="0.25">
      <c r="A251" s="1">
        <v>50957</v>
      </c>
      <c r="L251" t="s">
        <v>242</v>
      </c>
      <c r="M251" t="s">
        <v>242</v>
      </c>
      <c r="W251" t="s">
        <v>242</v>
      </c>
    </row>
    <row r="252" spans="1:25" x14ac:dyDescent="0.25">
      <c r="A252" s="1">
        <v>50959</v>
      </c>
      <c r="L252" t="s">
        <v>243</v>
      </c>
      <c r="R252" t="s">
        <v>243</v>
      </c>
      <c r="U252" t="s">
        <v>243</v>
      </c>
      <c r="X252" s="5" t="s">
        <v>665</v>
      </c>
      <c r="Y252" s="5"/>
    </row>
    <row r="253" spans="1:25" x14ac:dyDescent="0.25">
      <c r="A253" s="1">
        <v>50968</v>
      </c>
      <c r="K253" t="s">
        <v>630</v>
      </c>
      <c r="L253" t="s">
        <v>630</v>
      </c>
    </row>
    <row r="254" spans="1:25" x14ac:dyDescent="0.25">
      <c r="A254" s="1">
        <v>50969</v>
      </c>
      <c r="L254" t="s">
        <v>631</v>
      </c>
    </row>
    <row r="255" spans="1:25" x14ac:dyDescent="0.25">
      <c r="A255" s="1">
        <v>50997</v>
      </c>
      <c r="M255" t="s">
        <v>391</v>
      </c>
    </row>
    <row r="256" spans="1:25" x14ac:dyDescent="0.25">
      <c r="A256" s="1">
        <v>50998</v>
      </c>
      <c r="B256" t="s">
        <v>505</v>
      </c>
      <c r="M256" t="s">
        <v>393</v>
      </c>
    </row>
    <row r="257" spans="1:29" x14ac:dyDescent="0.25">
      <c r="A257" s="1">
        <v>50999</v>
      </c>
      <c r="M257" t="s">
        <v>395</v>
      </c>
    </row>
    <row r="258" spans="1:29" x14ac:dyDescent="0.25">
      <c r="A258" s="1">
        <v>51000</v>
      </c>
      <c r="B258" t="s">
        <v>506</v>
      </c>
    </row>
    <row r="259" spans="1:29" x14ac:dyDescent="0.25">
      <c r="A259" s="1">
        <v>55099</v>
      </c>
      <c r="B259" t="s">
        <v>574</v>
      </c>
      <c r="K259" t="s">
        <v>574</v>
      </c>
    </row>
    <row r="260" spans="1:29" x14ac:dyDescent="0.25">
      <c r="A260" s="1">
        <v>55100</v>
      </c>
      <c r="B260" t="s">
        <v>507</v>
      </c>
    </row>
    <row r="261" spans="1:29" x14ac:dyDescent="0.25">
      <c r="A261" s="1">
        <v>57001</v>
      </c>
      <c r="AC261" t="s">
        <v>1093</v>
      </c>
    </row>
    <row r="262" spans="1:29" x14ac:dyDescent="0.25">
      <c r="A262" s="1">
        <v>57002</v>
      </c>
      <c r="AC262" t="s">
        <v>1094</v>
      </c>
    </row>
    <row r="263" spans="1:29" x14ac:dyDescent="0.25">
      <c r="A263" s="1">
        <v>57003</v>
      </c>
      <c r="AC263" t="s">
        <v>1095</v>
      </c>
    </row>
    <row r="264" spans="1:29" x14ac:dyDescent="0.25">
      <c r="A264" s="1">
        <v>57004</v>
      </c>
      <c r="AC264" t="s">
        <v>1099</v>
      </c>
    </row>
    <row r="265" spans="1:29" x14ac:dyDescent="0.25">
      <c r="A265" s="1">
        <v>57005</v>
      </c>
      <c r="AC265" t="s">
        <v>1098</v>
      </c>
    </row>
    <row r="266" spans="1:29" x14ac:dyDescent="0.25">
      <c r="A266" s="1">
        <v>57006</v>
      </c>
      <c r="AC266" t="s">
        <v>1130</v>
      </c>
    </row>
    <row r="267" spans="1:29" x14ac:dyDescent="0.25">
      <c r="A267" s="1">
        <v>58001</v>
      </c>
      <c r="B267" t="s">
        <v>1143</v>
      </c>
    </row>
    <row r="268" spans="1:29" x14ac:dyDescent="0.25">
      <c r="A268" s="1">
        <v>58002</v>
      </c>
      <c r="B268" t="s">
        <v>1144</v>
      </c>
    </row>
    <row r="269" spans="1:29" x14ac:dyDescent="0.25">
      <c r="A269" s="1">
        <v>58003</v>
      </c>
    </row>
    <row r="270" spans="1:29" x14ac:dyDescent="0.25">
      <c r="A270" s="1">
        <v>58004</v>
      </c>
      <c r="B270" t="s">
        <v>1145</v>
      </c>
    </row>
    <row r="271" spans="1:29" x14ac:dyDescent="0.25">
      <c r="A271" s="1">
        <v>58005</v>
      </c>
      <c r="B271" t="s">
        <v>1146</v>
      </c>
    </row>
    <row r="272" spans="1:29" x14ac:dyDescent="0.25">
      <c r="A272" s="1">
        <v>58006</v>
      </c>
      <c r="B272" t="s">
        <v>1147</v>
      </c>
    </row>
    <row r="273" spans="1:2" x14ac:dyDescent="0.25">
      <c r="A273" s="1">
        <v>58007</v>
      </c>
      <c r="B273" t="s">
        <v>1148</v>
      </c>
    </row>
    <row r="274" spans="1:2" x14ac:dyDescent="0.25">
      <c r="A274" s="1">
        <v>58008</v>
      </c>
      <c r="B274" t="s">
        <v>1149</v>
      </c>
    </row>
    <row r="275" spans="1:2" x14ac:dyDescent="0.25">
      <c r="A275" s="1">
        <v>58009</v>
      </c>
    </row>
    <row r="276" spans="1:2" x14ac:dyDescent="0.25">
      <c r="A276" s="1">
        <v>58010</v>
      </c>
    </row>
    <row r="277" spans="1:2" x14ac:dyDescent="0.25">
      <c r="A277" s="1">
        <v>58011</v>
      </c>
    </row>
    <row r="278" spans="1:2" x14ac:dyDescent="0.25">
      <c r="A278" s="1">
        <v>58012</v>
      </c>
    </row>
    <row r="279" spans="1:2" x14ac:dyDescent="0.25">
      <c r="A279" s="1">
        <v>58013</v>
      </c>
    </row>
    <row r="280" spans="1:2" x14ac:dyDescent="0.25">
      <c r="A280" s="1">
        <v>58014</v>
      </c>
    </row>
    <row r="281" spans="1:2" x14ac:dyDescent="0.25">
      <c r="A281" s="1">
        <v>58015</v>
      </c>
    </row>
    <row r="282" spans="1:2" x14ac:dyDescent="0.25">
      <c r="A282" s="1">
        <v>58016</v>
      </c>
      <c r="B282" t="s">
        <v>1150</v>
      </c>
    </row>
    <row r="283" spans="1:2" x14ac:dyDescent="0.25">
      <c r="A283" s="1">
        <v>58017</v>
      </c>
      <c r="B283" t="s">
        <v>1151</v>
      </c>
    </row>
    <row r="284" spans="1:2" x14ac:dyDescent="0.25">
      <c r="A284" s="1">
        <v>58018</v>
      </c>
      <c r="B284" t="s">
        <v>1152</v>
      </c>
    </row>
    <row r="285" spans="1:2" x14ac:dyDescent="0.25">
      <c r="A285" s="1">
        <v>58019</v>
      </c>
      <c r="B285" t="s">
        <v>1153</v>
      </c>
    </row>
    <row r="286" spans="1:2" x14ac:dyDescent="0.25">
      <c r="A286" s="1">
        <v>58020</v>
      </c>
    </row>
    <row r="287" spans="1:2" x14ac:dyDescent="0.25">
      <c r="A287" s="1">
        <v>58021</v>
      </c>
      <c r="B287" t="s">
        <v>1423</v>
      </c>
    </row>
    <row r="288" spans="1:2" x14ac:dyDescent="0.25">
      <c r="A288" s="1">
        <v>58999</v>
      </c>
      <c r="B288" t="s">
        <v>1154</v>
      </c>
    </row>
    <row r="289" spans="1:12" x14ac:dyDescent="0.25">
      <c r="A289" s="1">
        <v>59999</v>
      </c>
      <c r="B289" t="s">
        <v>508</v>
      </c>
      <c r="L289" t="s">
        <v>632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A704-8455-49D2-8764-7395C42842B2}">
  <sheetPr>
    <tabColor rgb="FF92D050"/>
  </sheetPr>
  <dimension ref="A1:AG16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38" width="9.140625" style="56" customWidth="1"/>
    <col min="39" max="16384" width="9.140625" style="56"/>
  </cols>
  <sheetData>
    <row r="1" spans="1:33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G1" s="46" t="s">
        <v>952</v>
      </c>
    </row>
    <row r="2" spans="1:33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</row>
    <row r="3" spans="1:33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</row>
    <row r="4" spans="1:33" s="51" customFormat="1" x14ac:dyDescent="0.2">
      <c r="A4" s="50" t="s">
        <v>246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E4" s="58"/>
    </row>
    <row r="5" spans="1:33" s="51" customFormat="1" x14ac:dyDescent="0.2">
      <c r="A5" s="54" t="s">
        <v>1328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E5" s="58"/>
    </row>
    <row r="6" spans="1:33" x14ac:dyDescent="0.2">
      <c r="A6" s="59" t="s">
        <v>247</v>
      </c>
      <c r="B6" s="60" t="s">
        <v>248</v>
      </c>
      <c r="C6" s="84">
        <v>749000.04</v>
      </c>
      <c r="D6" s="80"/>
      <c r="E6" s="79">
        <v>551892.72</v>
      </c>
      <c r="F6" s="80"/>
      <c r="G6" s="79">
        <v>618249.96</v>
      </c>
      <c r="H6" s="79"/>
      <c r="I6" s="79">
        <v>660500</v>
      </c>
      <c r="J6" s="79"/>
      <c r="K6" s="79">
        <v>660500</v>
      </c>
      <c r="L6" s="79"/>
      <c r="M6" s="79">
        <v>660499.92000000004</v>
      </c>
      <c r="N6" s="79"/>
      <c r="O6" s="79">
        <f>PRODUCT(M6,0/12)</f>
        <v>0</v>
      </c>
      <c r="P6" s="79"/>
      <c r="Q6" s="79">
        <f t="shared" ref="Q6:Q24" si="0">SUM(M6,O6)</f>
        <v>660499.92000000004</v>
      </c>
      <c r="R6" s="79"/>
      <c r="S6" s="79">
        <v>0</v>
      </c>
      <c r="T6" s="79"/>
      <c r="U6" s="79">
        <v>0</v>
      </c>
      <c r="V6" s="79"/>
      <c r="W6" s="79">
        <v>0</v>
      </c>
      <c r="X6" s="79"/>
      <c r="Y6" s="79">
        <f t="shared" ref="Y6:Y24" si="1">SUM(W6,-I6)</f>
        <v>-660500</v>
      </c>
      <c r="Z6" s="62"/>
      <c r="AA6" s="63" t="str">
        <f t="shared" ref="AA6:AA25" si="2">IF(W6=0,"N/A",PRODUCT(Y6,1/I6))</f>
        <v>N/A</v>
      </c>
      <c r="AB6" s="62"/>
      <c r="AC6" s="79">
        <f t="shared" ref="AC6:AC24" si="3">SUM(W6,-Q6)</f>
        <v>-660499.92000000004</v>
      </c>
      <c r="AD6" s="62"/>
      <c r="AE6" s="63" t="str">
        <f t="shared" ref="AE6:AE25" si="4">IF(W6=0,"N/A",PRODUCT(AC6,1/Q6))</f>
        <v>N/A</v>
      </c>
      <c r="AF6" s="57"/>
    </row>
    <row r="7" spans="1:33" x14ac:dyDescent="0.2">
      <c r="A7" s="55" t="s">
        <v>251</v>
      </c>
      <c r="B7" s="56" t="s">
        <v>252</v>
      </c>
      <c r="C7" s="86">
        <v>0</v>
      </c>
      <c r="E7" s="77">
        <v>18061.48</v>
      </c>
      <c r="G7" s="77">
        <v>32765.8</v>
      </c>
      <c r="I7" s="77">
        <v>0</v>
      </c>
      <c r="K7" s="77">
        <v>0</v>
      </c>
      <c r="M7" s="77">
        <v>0</v>
      </c>
      <c r="O7" s="77">
        <f>PRODUCT(M7,0/12)</f>
        <v>0</v>
      </c>
      <c r="Q7" s="77">
        <f t="shared" si="0"/>
        <v>0</v>
      </c>
      <c r="S7" s="77">
        <v>0</v>
      </c>
      <c r="U7" s="77">
        <v>0</v>
      </c>
      <c r="W7" s="77">
        <v>0</v>
      </c>
      <c r="Y7" s="77">
        <f t="shared" si="1"/>
        <v>0</v>
      </c>
      <c r="Z7" s="57"/>
      <c r="AA7" s="58" t="str">
        <f t="shared" si="2"/>
        <v>N/A</v>
      </c>
      <c r="AB7" s="57"/>
      <c r="AC7" s="77">
        <f t="shared" si="3"/>
        <v>0</v>
      </c>
      <c r="AD7" s="57"/>
      <c r="AE7" s="58" t="str">
        <f t="shared" si="4"/>
        <v>N/A</v>
      </c>
      <c r="AF7" s="57"/>
    </row>
    <row r="8" spans="1:33" x14ac:dyDescent="0.2">
      <c r="A8" s="59" t="s">
        <v>253</v>
      </c>
      <c r="B8" s="60" t="s">
        <v>254</v>
      </c>
      <c r="C8" s="84">
        <v>0</v>
      </c>
      <c r="D8" s="80"/>
      <c r="E8" s="79">
        <v>0</v>
      </c>
      <c r="F8" s="80"/>
      <c r="G8" s="79">
        <v>0</v>
      </c>
      <c r="H8" s="79"/>
      <c r="I8" s="79">
        <v>18000</v>
      </c>
      <c r="J8" s="79"/>
      <c r="K8" s="79">
        <v>18000</v>
      </c>
      <c r="L8" s="79"/>
      <c r="M8" s="79">
        <v>0</v>
      </c>
      <c r="N8" s="79"/>
      <c r="O8" s="79">
        <v>0</v>
      </c>
      <c r="P8" s="79"/>
      <c r="Q8" s="79">
        <f t="shared" si="0"/>
        <v>0</v>
      </c>
      <c r="R8" s="79"/>
      <c r="S8" s="79">
        <v>0</v>
      </c>
      <c r="T8" s="79"/>
      <c r="U8" s="79">
        <v>0</v>
      </c>
      <c r="V8" s="79"/>
      <c r="W8" s="79">
        <v>18000</v>
      </c>
      <c r="X8" s="79"/>
      <c r="Y8" s="79">
        <f t="shared" si="1"/>
        <v>0</v>
      </c>
      <c r="Z8" s="62"/>
      <c r="AA8" s="63">
        <f t="shared" si="2"/>
        <v>0</v>
      </c>
      <c r="AB8" s="62"/>
      <c r="AC8" s="79">
        <f t="shared" si="3"/>
        <v>18000</v>
      </c>
      <c r="AD8" s="62"/>
      <c r="AE8" s="63" t="e">
        <f t="shared" si="4"/>
        <v>#DIV/0!</v>
      </c>
      <c r="AF8" s="57"/>
    </row>
    <row r="9" spans="1:33" x14ac:dyDescent="0.2">
      <c r="A9" s="55" t="s">
        <v>255</v>
      </c>
      <c r="B9" s="56" t="s">
        <v>256</v>
      </c>
      <c r="C9" s="86">
        <v>42851.31</v>
      </c>
      <c r="E9" s="77">
        <v>20793.25</v>
      </c>
      <c r="G9" s="77">
        <v>9826.27</v>
      </c>
      <c r="I9" s="77">
        <v>10000</v>
      </c>
      <c r="K9" s="77">
        <v>10000</v>
      </c>
      <c r="M9" s="77">
        <v>14125.04</v>
      </c>
      <c r="O9" s="77">
        <f t="shared" ref="O9:O23" si="5">PRODUCT(M9,0/12)</f>
        <v>0</v>
      </c>
      <c r="Q9" s="77">
        <f t="shared" si="0"/>
        <v>14125.04</v>
      </c>
      <c r="S9" s="77">
        <v>10000</v>
      </c>
      <c r="U9" s="77">
        <v>10000</v>
      </c>
      <c r="W9" s="77">
        <v>10000</v>
      </c>
      <c r="Y9" s="77">
        <f t="shared" si="1"/>
        <v>0</v>
      </c>
      <c r="Z9" s="57"/>
      <c r="AA9" s="58">
        <f t="shared" si="2"/>
        <v>0</v>
      </c>
      <c r="AB9" s="57"/>
      <c r="AC9" s="77">
        <f t="shared" si="3"/>
        <v>-4125.0400000000009</v>
      </c>
      <c r="AD9" s="57"/>
      <c r="AE9" s="58">
        <f t="shared" si="4"/>
        <v>-0.29203740307992054</v>
      </c>
      <c r="AF9" s="57"/>
    </row>
    <row r="10" spans="1:33" x14ac:dyDescent="0.2">
      <c r="A10" s="59" t="s">
        <v>258</v>
      </c>
      <c r="B10" s="60" t="s">
        <v>259</v>
      </c>
      <c r="C10" s="84">
        <v>25659</v>
      </c>
      <c r="D10" s="80"/>
      <c r="E10" s="79">
        <v>174636</v>
      </c>
      <c r="F10" s="80"/>
      <c r="G10" s="79">
        <v>0</v>
      </c>
      <c r="H10" s="79"/>
      <c r="I10" s="79">
        <v>0</v>
      </c>
      <c r="J10" s="79"/>
      <c r="K10" s="79">
        <v>0</v>
      </c>
      <c r="L10" s="79"/>
      <c r="M10" s="79">
        <v>0</v>
      </c>
      <c r="N10" s="79"/>
      <c r="O10" s="79">
        <f t="shared" si="5"/>
        <v>0</v>
      </c>
      <c r="P10" s="79"/>
      <c r="Q10" s="79">
        <f t="shared" si="0"/>
        <v>0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0</v>
      </c>
      <c r="Z10" s="62"/>
      <c r="AA10" s="63" t="str">
        <f t="shared" si="2"/>
        <v>N/A</v>
      </c>
      <c r="AB10" s="62"/>
      <c r="AC10" s="79">
        <f t="shared" si="3"/>
        <v>0</v>
      </c>
      <c r="AD10" s="62"/>
      <c r="AE10" s="63" t="str">
        <f t="shared" si="4"/>
        <v>N/A</v>
      </c>
      <c r="AF10" s="57"/>
    </row>
    <row r="11" spans="1:33" x14ac:dyDescent="0.2">
      <c r="A11" s="55" t="s">
        <v>260</v>
      </c>
      <c r="B11" s="56" t="s">
        <v>261</v>
      </c>
      <c r="C11" s="86">
        <v>0</v>
      </c>
      <c r="E11" s="77">
        <v>1604.56</v>
      </c>
      <c r="G11" s="77">
        <v>140</v>
      </c>
      <c r="I11" s="77">
        <v>0</v>
      </c>
      <c r="K11" s="77">
        <v>0</v>
      </c>
      <c r="M11" s="77">
        <v>0</v>
      </c>
      <c r="O11" s="77">
        <f t="shared" si="5"/>
        <v>0</v>
      </c>
      <c r="Q11" s="77">
        <f t="shared" si="0"/>
        <v>0</v>
      </c>
      <c r="S11" s="77">
        <v>0</v>
      </c>
      <c r="U11" s="77">
        <v>0</v>
      </c>
      <c r="W11" s="77">
        <v>0</v>
      </c>
      <c r="Y11" s="77">
        <f t="shared" si="1"/>
        <v>0</v>
      </c>
      <c r="Z11" s="57"/>
      <c r="AA11" s="58" t="str">
        <f t="shared" si="2"/>
        <v>N/A</v>
      </c>
      <c r="AB11" s="57"/>
      <c r="AC11" s="77">
        <f t="shared" si="3"/>
        <v>0</v>
      </c>
      <c r="AD11" s="57"/>
      <c r="AE11" s="58" t="str">
        <f t="shared" si="4"/>
        <v>N/A</v>
      </c>
      <c r="AF11" s="57"/>
    </row>
    <row r="12" spans="1:33" x14ac:dyDescent="0.2">
      <c r="A12" s="59" t="s">
        <v>262</v>
      </c>
      <c r="B12" s="60" t="s">
        <v>263</v>
      </c>
      <c r="C12" s="84">
        <v>16641.27</v>
      </c>
      <c r="D12" s="80"/>
      <c r="E12" s="79">
        <v>10507.49</v>
      </c>
      <c r="F12" s="80"/>
      <c r="G12" s="79">
        <v>18400.47</v>
      </c>
      <c r="H12" s="79"/>
      <c r="I12" s="79">
        <v>12000</v>
      </c>
      <c r="J12" s="79"/>
      <c r="K12" s="79">
        <v>12000</v>
      </c>
      <c r="L12" s="79"/>
      <c r="M12" s="79">
        <v>17012.72</v>
      </c>
      <c r="N12" s="79"/>
      <c r="O12" s="79">
        <f t="shared" si="5"/>
        <v>0</v>
      </c>
      <c r="P12" s="79"/>
      <c r="Q12" s="79">
        <f t="shared" si="0"/>
        <v>17012.72</v>
      </c>
      <c r="R12" s="79"/>
      <c r="S12" s="79">
        <v>17000</v>
      </c>
      <c r="T12" s="79"/>
      <c r="U12" s="79">
        <v>17000</v>
      </c>
      <c r="V12" s="79"/>
      <c r="W12" s="79">
        <v>17000</v>
      </c>
      <c r="X12" s="79"/>
      <c r="Y12" s="79">
        <f t="shared" si="1"/>
        <v>5000</v>
      </c>
      <c r="Z12" s="62"/>
      <c r="AA12" s="63">
        <f t="shared" si="2"/>
        <v>0.41666666666666663</v>
      </c>
      <c r="AB12" s="62"/>
      <c r="AC12" s="79">
        <f t="shared" si="3"/>
        <v>-12.720000000001164</v>
      </c>
      <c r="AD12" s="62"/>
      <c r="AE12" s="63">
        <f t="shared" si="4"/>
        <v>-7.4767585665320795E-4</v>
      </c>
      <c r="AF12" s="57"/>
    </row>
    <row r="13" spans="1:33" x14ac:dyDescent="0.2">
      <c r="A13" s="55" t="s">
        <v>264</v>
      </c>
      <c r="B13" s="56" t="s">
        <v>265</v>
      </c>
      <c r="C13" s="86">
        <v>45800.959999999999</v>
      </c>
      <c r="E13" s="77">
        <v>34345.360000000001</v>
      </c>
      <c r="G13" s="77">
        <v>57127.88</v>
      </c>
      <c r="I13" s="77">
        <v>45000</v>
      </c>
      <c r="K13" s="77">
        <v>45000</v>
      </c>
      <c r="M13" s="77">
        <v>79882.820000000007</v>
      </c>
      <c r="O13" s="77">
        <f t="shared" si="5"/>
        <v>0</v>
      </c>
      <c r="Q13" s="77">
        <f t="shared" si="0"/>
        <v>79882.820000000007</v>
      </c>
      <c r="S13" s="77">
        <v>75000</v>
      </c>
      <c r="U13" s="77">
        <v>75000</v>
      </c>
      <c r="W13" s="77">
        <v>75000</v>
      </c>
      <c r="Y13" s="77">
        <f t="shared" si="1"/>
        <v>30000</v>
      </c>
      <c r="Z13" s="57"/>
      <c r="AA13" s="58">
        <f t="shared" si="2"/>
        <v>0.66666666666666674</v>
      </c>
      <c r="AB13" s="57"/>
      <c r="AC13" s="77">
        <f t="shared" si="3"/>
        <v>-4882.820000000007</v>
      </c>
      <c r="AD13" s="57"/>
      <c r="AE13" s="58">
        <f t="shared" si="4"/>
        <v>-6.1124782525203876E-2</v>
      </c>
      <c r="AF13" s="57"/>
    </row>
    <row r="14" spans="1:33" x14ac:dyDescent="0.2">
      <c r="A14" s="59" t="s">
        <v>266</v>
      </c>
      <c r="B14" s="60" t="s">
        <v>1306</v>
      </c>
      <c r="C14" s="84">
        <v>759.75</v>
      </c>
      <c r="D14" s="80"/>
      <c r="E14" s="79">
        <v>0</v>
      </c>
      <c r="F14" s="80"/>
      <c r="G14" s="79">
        <v>0</v>
      </c>
      <c r="H14" s="79"/>
      <c r="I14" s="79">
        <v>0</v>
      </c>
      <c r="J14" s="79"/>
      <c r="K14" s="79">
        <v>0</v>
      </c>
      <c r="L14" s="79"/>
      <c r="M14" s="79">
        <v>0</v>
      </c>
      <c r="N14" s="79"/>
      <c r="O14" s="79">
        <f t="shared" si="5"/>
        <v>0</v>
      </c>
      <c r="P14" s="79"/>
      <c r="Q14" s="79">
        <f t="shared" si="0"/>
        <v>0</v>
      </c>
      <c r="R14" s="79"/>
      <c r="S14" s="79">
        <v>0</v>
      </c>
      <c r="T14" s="79"/>
      <c r="U14" s="79">
        <v>0</v>
      </c>
      <c r="V14" s="79"/>
      <c r="W14" s="79">
        <v>0</v>
      </c>
      <c r="X14" s="79"/>
      <c r="Y14" s="79">
        <f t="shared" si="1"/>
        <v>0</v>
      </c>
      <c r="Z14" s="62"/>
      <c r="AA14" s="63" t="str">
        <f t="shared" si="2"/>
        <v>N/A</v>
      </c>
      <c r="AB14" s="62"/>
      <c r="AC14" s="79">
        <f t="shared" si="3"/>
        <v>0</v>
      </c>
      <c r="AD14" s="62"/>
      <c r="AE14" s="63" t="str">
        <f t="shared" si="4"/>
        <v>N/A</v>
      </c>
      <c r="AF14" s="57"/>
      <c r="AG14" s="56" t="s">
        <v>1074</v>
      </c>
    </row>
    <row r="15" spans="1:33" x14ac:dyDescent="0.2">
      <c r="A15" s="55" t="s">
        <v>267</v>
      </c>
      <c r="B15" s="56" t="s">
        <v>1311</v>
      </c>
      <c r="C15" s="86">
        <v>638.29999999999995</v>
      </c>
      <c r="E15" s="77">
        <v>0</v>
      </c>
      <c r="G15" s="77">
        <v>0</v>
      </c>
      <c r="I15" s="77">
        <v>0</v>
      </c>
      <c r="K15" s="77">
        <v>0</v>
      </c>
      <c r="M15" s="77">
        <v>0</v>
      </c>
      <c r="O15" s="77">
        <f t="shared" si="5"/>
        <v>0</v>
      </c>
      <c r="Q15" s="77">
        <f t="shared" si="0"/>
        <v>0</v>
      </c>
      <c r="S15" s="77">
        <v>0</v>
      </c>
      <c r="U15" s="77">
        <v>0</v>
      </c>
      <c r="W15" s="77">
        <v>0</v>
      </c>
      <c r="Y15" s="77">
        <f t="shared" si="1"/>
        <v>0</v>
      </c>
      <c r="Z15" s="57"/>
      <c r="AA15" s="58" t="str">
        <f t="shared" si="2"/>
        <v>N/A</v>
      </c>
      <c r="AB15" s="57"/>
      <c r="AC15" s="77">
        <f t="shared" si="3"/>
        <v>0</v>
      </c>
      <c r="AD15" s="57"/>
      <c r="AE15" s="58" t="str">
        <f t="shared" si="4"/>
        <v>N/A</v>
      </c>
      <c r="AF15" s="57"/>
      <c r="AG15" s="56" t="s">
        <v>1074</v>
      </c>
    </row>
    <row r="16" spans="1:33" x14ac:dyDescent="0.2">
      <c r="A16" s="59" t="s">
        <v>268</v>
      </c>
      <c r="B16" s="60" t="s">
        <v>269</v>
      </c>
      <c r="C16" s="84">
        <v>11098.19</v>
      </c>
      <c r="D16" s="80"/>
      <c r="E16" s="79">
        <v>2370.27</v>
      </c>
      <c r="F16" s="80"/>
      <c r="G16" s="79">
        <v>2316.62</v>
      </c>
      <c r="H16" s="79"/>
      <c r="I16" s="79">
        <v>0</v>
      </c>
      <c r="J16" s="79"/>
      <c r="K16" s="79">
        <v>0</v>
      </c>
      <c r="L16" s="79"/>
      <c r="M16" s="79">
        <v>2962.91</v>
      </c>
      <c r="N16" s="79"/>
      <c r="O16" s="79">
        <f t="shared" si="5"/>
        <v>0</v>
      </c>
      <c r="P16" s="79"/>
      <c r="Q16" s="79">
        <f t="shared" si="0"/>
        <v>2962.91</v>
      </c>
      <c r="R16" s="79"/>
      <c r="S16" s="79">
        <v>4000</v>
      </c>
      <c r="T16" s="79"/>
      <c r="U16" s="79">
        <v>4000</v>
      </c>
      <c r="V16" s="79"/>
      <c r="W16" s="79">
        <v>4000</v>
      </c>
      <c r="X16" s="79"/>
      <c r="Y16" s="79">
        <f t="shared" si="1"/>
        <v>4000</v>
      </c>
      <c r="Z16" s="62"/>
      <c r="AA16" s="63" t="e">
        <f t="shared" si="2"/>
        <v>#DIV/0!</v>
      </c>
      <c r="AB16" s="62"/>
      <c r="AC16" s="79">
        <f t="shared" si="3"/>
        <v>1037.0900000000001</v>
      </c>
      <c r="AD16" s="62"/>
      <c r="AE16" s="63">
        <f t="shared" si="4"/>
        <v>0.35002413168135382</v>
      </c>
      <c r="AF16" s="57"/>
      <c r="AG16" s="56" t="s">
        <v>1072</v>
      </c>
    </row>
    <row r="17" spans="1:33" x14ac:dyDescent="0.2">
      <c r="A17" s="55" t="s">
        <v>270</v>
      </c>
      <c r="B17" s="56" t="s">
        <v>1313</v>
      </c>
      <c r="C17" s="86">
        <v>3211.79</v>
      </c>
      <c r="E17" s="77">
        <v>1541.76</v>
      </c>
      <c r="G17" s="77">
        <v>1531.71</v>
      </c>
      <c r="I17" s="77">
        <v>2000</v>
      </c>
      <c r="K17" s="77">
        <v>2000</v>
      </c>
      <c r="M17" s="77">
        <v>3667.75</v>
      </c>
      <c r="O17" s="77">
        <f t="shared" si="5"/>
        <v>0</v>
      </c>
      <c r="Q17" s="77">
        <f t="shared" si="0"/>
        <v>3667.75</v>
      </c>
      <c r="S17" s="77">
        <v>2500</v>
      </c>
      <c r="U17" s="77">
        <v>2500</v>
      </c>
      <c r="W17" s="77">
        <v>2500</v>
      </c>
      <c r="Y17" s="77">
        <f t="shared" si="1"/>
        <v>500</v>
      </c>
      <c r="Z17" s="57"/>
      <c r="AA17" s="58">
        <f t="shared" si="2"/>
        <v>0.25</v>
      </c>
      <c r="AB17" s="57"/>
      <c r="AC17" s="77">
        <f t="shared" si="3"/>
        <v>-1167.75</v>
      </c>
      <c r="AD17" s="57"/>
      <c r="AE17" s="58">
        <f t="shared" si="4"/>
        <v>-0.31838320496217026</v>
      </c>
      <c r="AF17" s="57"/>
      <c r="AG17" s="56" t="s">
        <v>1073</v>
      </c>
    </row>
    <row r="18" spans="1:33" x14ac:dyDescent="0.2">
      <c r="A18" s="59" t="s">
        <v>271</v>
      </c>
      <c r="B18" s="60" t="s">
        <v>1312</v>
      </c>
      <c r="C18" s="84">
        <v>6589.72</v>
      </c>
      <c r="D18" s="80"/>
      <c r="E18" s="79">
        <v>0</v>
      </c>
      <c r="F18" s="80"/>
      <c r="G18" s="79">
        <v>0</v>
      </c>
      <c r="H18" s="79"/>
      <c r="I18" s="79">
        <v>0</v>
      </c>
      <c r="J18" s="79"/>
      <c r="K18" s="79">
        <v>0</v>
      </c>
      <c r="L18" s="79"/>
      <c r="M18" s="79">
        <v>0</v>
      </c>
      <c r="N18" s="79"/>
      <c r="O18" s="79">
        <f t="shared" si="5"/>
        <v>0</v>
      </c>
      <c r="P18" s="79"/>
      <c r="Q18" s="79">
        <f t="shared" si="0"/>
        <v>0</v>
      </c>
      <c r="R18" s="79"/>
      <c r="S18" s="79">
        <v>0</v>
      </c>
      <c r="T18" s="79"/>
      <c r="U18" s="79">
        <v>0</v>
      </c>
      <c r="V18" s="79"/>
      <c r="W18" s="79"/>
      <c r="X18" s="79"/>
      <c r="Y18" s="79">
        <f t="shared" si="1"/>
        <v>0</v>
      </c>
      <c r="Z18" s="62"/>
      <c r="AA18" s="63" t="str">
        <f t="shared" si="2"/>
        <v>N/A</v>
      </c>
      <c r="AB18" s="62"/>
      <c r="AC18" s="79">
        <f t="shared" si="3"/>
        <v>0</v>
      </c>
      <c r="AD18" s="62"/>
      <c r="AE18" s="63" t="str">
        <f t="shared" si="4"/>
        <v>N/A</v>
      </c>
      <c r="AF18" s="57"/>
      <c r="AG18" s="56" t="s">
        <v>1074</v>
      </c>
    </row>
    <row r="19" spans="1:33" x14ac:dyDescent="0.2">
      <c r="A19" s="55" t="s">
        <v>272</v>
      </c>
      <c r="B19" s="56" t="s">
        <v>1319</v>
      </c>
      <c r="C19" s="86">
        <v>172.28</v>
      </c>
      <c r="E19" s="77">
        <v>998.56</v>
      </c>
      <c r="G19" s="77">
        <v>2033.32</v>
      </c>
      <c r="I19" s="77">
        <v>1000</v>
      </c>
      <c r="K19" s="77">
        <v>1000</v>
      </c>
      <c r="M19" s="77">
        <v>2238.27</v>
      </c>
      <c r="O19" s="77">
        <f t="shared" si="5"/>
        <v>0</v>
      </c>
      <c r="Q19" s="77">
        <f t="shared" si="0"/>
        <v>2238.27</v>
      </c>
      <c r="S19" s="77">
        <v>2000</v>
      </c>
      <c r="U19" s="77">
        <v>2000</v>
      </c>
      <c r="W19" s="77">
        <v>2000</v>
      </c>
      <c r="Y19" s="77">
        <f t="shared" si="1"/>
        <v>1000</v>
      </c>
      <c r="Z19" s="57"/>
      <c r="AA19" s="58">
        <f t="shared" si="2"/>
        <v>1</v>
      </c>
      <c r="AB19" s="57"/>
      <c r="AC19" s="77">
        <f t="shared" si="3"/>
        <v>-238.26999999999998</v>
      </c>
      <c r="AD19" s="57"/>
      <c r="AE19" s="58">
        <f t="shared" si="4"/>
        <v>-0.10645275145536508</v>
      </c>
      <c r="AF19" s="57"/>
    </row>
    <row r="20" spans="1:33" x14ac:dyDescent="0.2">
      <c r="A20" s="59" t="s">
        <v>273</v>
      </c>
      <c r="B20" s="60" t="s">
        <v>1320</v>
      </c>
      <c r="C20" s="84">
        <v>3.43</v>
      </c>
      <c r="D20" s="80"/>
      <c r="E20" s="79">
        <v>20.059999999999999</v>
      </c>
      <c r="F20" s="80"/>
      <c r="G20" s="79">
        <v>40.799999999999997</v>
      </c>
      <c r="H20" s="79"/>
      <c r="I20" s="79">
        <v>100</v>
      </c>
      <c r="J20" s="79"/>
      <c r="K20" s="79">
        <v>100</v>
      </c>
      <c r="L20" s="79"/>
      <c r="M20" s="79">
        <v>44.73</v>
      </c>
      <c r="N20" s="79"/>
      <c r="O20" s="79">
        <f t="shared" si="5"/>
        <v>0</v>
      </c>
      <c r="P20" s="79"/>
      <c r="Q20" s="79">
        <f t="shared" si="0"/>
        <v>44.73</v>
      </c>
      <c r="R20" s="79"/>
      <c r="S20" s="79">
        <v>50</v>
      </c>
      <c r="T20" s="79"/>
      <c r="U20" s="79">
        <v>50</v>
      </c>
      <c r="V20" s="79"/>
      <c r="W20" s="79">
        <v>50</v>
      </c>
      <c r="X20" s="79"/>
      <c r="Y20" s="79">
        <f t="shared" si="1"/>
        <v>-50</v>
      </c>
      <c r="Z20" s="62"/>
      <c r="AA20" s="63">
        <f t="shared" si="2"/>
        <v>-0.5</v>
      </c>
      <c r="AB20" s="62"/>
      <c r="AC20" s="79">
        <f t="shared" si="3"/>
        <v>5.2700000000000031</v>
      </c>
      <c r="AD20" s="62"/>
      <c r="AE20" s="63">
        <f t="shared" si="4"/>
        <v>0.11781801922647001</v>
      </c>
      <c r="AF20" s="57"/>
    </row>
    <row r="21" spans="1:33" x14ac:dyDescent="0.2">
      <c r="A21" s="55" t="s">
        <v>274</v>
      </c>
      <c r="B21" s="56" t="s">
        <v>275</v>
      </c>
      <c r="C21" s="86">
        <v>0</v>
      </c>
      <c r="E21" s="77">
        <v>0</v>
      </c>
      <c r="G21" s="77">
        <v>499530.61</v>
      </c>
      <c r="I21" s="77">
        <v>0</v>
      </c>
      <c r="K21" s="77">
        <v>0</v>
      </c>
      <c r="M21" s="77">
        <v>0</v>
      </c>
      <c r="O21" s="77">
        <f t="shared" si="5"/>
        <v>0</v>
      </c>
      <c r="Q21" s="77">
        <f t="shared" si="0"/>
        <v>0</v>
      </c>
      <c r="S21" s="77">
        <v>0</v>
      </c>
      <c r="U21" s="77">
        <v>0</v>
      </c>
      <c r="W21" s="77">
        <v>0</v>
      </c>
      <c r="Y21" s="77">
        <f t="shared" si="1"/>
        <v>0</v>
      </c>
      <c r="Z21" s="57"/>
      <c r="AA21" s="58" t="str">
        <f t="shared" si="2"/>
        <v>N/A</v>
      </c>
      <c r="AB21" s="57"/>
      <c r="AC21" s="77">
        <f t="shared" si="3"/>
        <v>0</v>
      </c>
      <c r="AD21" s="57"/>
      <c r="AE21" s="58" t="str">
        <f t="shared" si="4"/>
        <v>N/A</v>
      </c>
      <c r="AF21" s="57"/>
    </row>
    <row r="22" spans="1:33" x14ac:dyDescent="0.2">
      <c r="A22" s="59" t="s">
        <v>276</v>
      </c>
      <c r="B22" s="60" t="s">
        <v>277</v>
      </c>
      <c r="C22" s="84">
        <v>0</v>
      </c>
      <c r="D22" s="80"/>
      <c r="E22" s="79">
        <v>33244.17</v>
      </c>
      <c r="F22" s="80"/>
      <c r="G22" s="79">
        <v>6922.96</v>
      </c>
      <c r="H22" s="79"/>
      <c r="I22" s="79">
        <v>0</v>
      </c>
      <c r="J22" s="79"/>
      <c r="K22" s="79">
        <v>0</v>
      </c>
      <c r="L22" s="79"/>
      <c r="M22" s="79">
        <v>0</v>
      </c>
      <c r="N22" s="79"/>
      <c r="O22" s="79">
        <f t="shared" si="5"/>
        <v>0</v>
      </c>
      <c r="P22" s="79"/>
      <c r="Q22" s="79">
        <f t="shared" si="0"/>
        <v>0</v>
      </c>
      <c r="R22" s="79"/>
      <c r="S22" s="79">
        <v>0</v>
      </c>
      <c r="T22" s="79"/>
      <c r="U22" s="79">
        <v>0</v>
      </c>
      <c r="V22" s="79"/>
      <c r="W22" s="79">
        <v>0</v>
      </c>
      <c r="X22" s="79"/>
      <c r="Y22" s="79">
        <f t="shared" si="1"/>
        <v>0</v>
      </c>
      <c r="Z22" s="62"/>
      <c r="AA22" s="63" t="str">
        <f t="shared" si="2"/>
        <v>N/A</v>
      </c>
      <c r="AB22" s="62"/>
      <c r="AC22" s="79">
        <f t="shared" si="3"/>
        <v>0</v>
      </c>
      <c r="AD22" s="62"/>
      <c r="AE22" s="63" t="str">
        <f t="shared" si="4"/>
        <v>N/A</v>
      </c>
      <c r="AF22" s="57"/>
    </row>
    <row r="23" spans="1:33" x14ac:dyDescent="0.2">
      <c r="A23" s="55" t="s">
        <v>278</v>
      </c>
      <c r="B23" s="56" t="s">
        <v>281</v>
      </c>
      <c r="C23" s="86">
        <v>0</v>
      </c>
      <c r="E23" s="77">
        <v>17200</v>
      </c>
      <c r="G23" s="77">
        <v>0</v>
      </c>
      <c r="I23" s="77">
        <v>0</v>
      </c>
      <c r="K23" s="77">
        <v>0</v>
      </c>
      <c r="M23" s="77">
        <v>0</v>
      </c>
      <c r="O23" s="77">
        <f t="shared" si="5"/>
        <v>0</v>
      </c>
      <c r="Q23" s="77">
        <f t="shared" si="0"/>
        <v>0</v>
      </c>
      <c r="S23" s="77">
        <v>0</v>
      </c>
      <c r="U23" s="77">
        <v>0</v>
      </c>
      <c r="W23" s="77">
        <v>0</v>
      </c>
      <c r="Y23" s="77">
        <f t="shared" si="1"/>
        <v>0</v>
      </c>
      <c r="Z23" s="57"/>
      <c r="AA23" s="58" t="str">
        <f t="shared" si="2"/>
        <v>N/A</v>
      </c>
      <c r="AB23" s="57"/>
      <c r="AC23" s="77">
        <f t="shared" si="3"/>
        <v>0</v>
      </c>
      <c r="AD23" s="57"/>
      <c r="AE23" s="58" t="str">
        <f t="shared" si="4"/>
        <v>N/A</v>
      </c>
      <c r="AF23" s="57"/>
    </row>
    <row r="24" spans="1:33" x14ac:dyDescent="0.2">
      <c r="A24" s="59" t="s">
        <v>279</v>
      </c>
      <c r="B24" s="60" t="s">
        <v>282</v>
      </c>
      <c r="C24" s="84">
        <v>0</v>
      </c>
      <c r="D24" s="80"/>
      <c r="E24" s="79">
        <v>0</v>
      </c>
      <c r="F24" s="80"/>
      <c r="G24" s="79">
        <v>35904.5</v>
      </c>
      <c r="H24" s="79"/>
      <c r="I24" s="79">
        <v>0</v>
      </c>
      <c r="J24" s="79"/>
      <c r="K24" s="79">
        <v>0</v>
      </c>
      <c r="L24" s="79"/>
      <c r="M24" s="79">
        <v>0</v>
      </c>
      <c r="N24" s="79"/>
      <c r="O24" s="79">
        <v>0</v>
      </c>
      <c r="P24" s="79"/>
      <c r="Q24" s="79">
        <f t="shared" si="0"/>
        <v>0</v>
      </c>
      <c r="R24" s="79"/>
      <c r="S24" s="79">
        <v>35000</v>
      </c>
      <c r="T24" s="79"/>
      <c r="U24" s="79">
        <v>35000</v>
      </c>
      <c r="V24" s="79"/>
      <c r="W24" s="79">
        <v>35000</v>
      </c>
      <c r="X24" s="79"/>
      <c r="Y24" s="79">
        <f t="shared" si="1"/>
        <v>35000</v>
      </c>
      <c r="Z24" s="62"/>
      <c r="AA24" s="63" t="e">
        <f t="shared" si="2"/>
        <v>#DIV/0!</v>
      </c>
      <c r="AB24" s="62"/>
      <c r="AC24" s="79">
        <f t="shared" si="3"/>
        <v>35000</v>
      </c>
      <c r="AD24" s="62"/>
      <c r="AE24" s="63" t="e">
        <f t="shared" si="4"/>
        <v>#DIV/0!</v>
      </c>
      <c r="AF24" s="57"/>
      <c r="AG24" s="56" t="s">
        <v>1075</v>
      </c>
    </row>
    <row r="25" spans="1:33" x14ac:dyDescent="0.2">
      <c r="A25" s="64" t="s">
        <v>1329</v>
      </c>
      <c r="C25" s="81">
        <f>SUM(C6:C24)</f>
        <v>902426.04000000015</v>
      </c>
      <c r="E25" s="81">
        <f>SUM(E6:E24)</f>
        <v>867215.68000000017</v>
      </c>
      <c r="G25" s="81">
        <f>SUM(G6:G24)</f>
        <v>1284790.8999999999</v>
      </c>
      <c r="I25" s="81">
        <f>SUM(I6:I24)</f>
        <v>748600</v>
      </c>
      <c r="K25" s="81">
        <f>SUM(K6:K24)</f>
        <v>748600</v>
      </c>
      <c r="M25" s="81">
        <f>SUM(M6:M24)</f>
        <v>780434.16</v>
      </c>
      <c r="O25" s="81">
        <f>SUM(O6:O24)</f>
        <v>0</v>
      </c>
      <c r="Q25" s="81">
        <f>SUM(Q6:Q24)</f>
        <v>780434.16</v>
      </c>
      <c r="S25" s="81">
        <f>SUM(S6:S24)</f>
        <v>145550</v>
      </c>
      <c r="U25" s="81">
        <f>SUM(U6:U24)</f>
        <v>145550</v>
      </c>
      <c r="W25" s="81">
        <f>SUM(W6:W24)</f>
        <v>163550</v>
      </c>
      <c r="Y25" s="81">
        <f>SUM(Y6:Y24)</f>
        <v>-585050</v>
      </c>
      <c r="Z25" s="57"/>
      <c r="AA25" s="65">
        <f t="shared" si="2"/>
        <v>-0.7815255142933476</v>
      </c>
      <c r="AB25" s="57"/>
      <c r="AC25" s="81">
        <f>SUM(AC6:AC24)</f>
        <v>-616884.16</v>
      </c>
      <c r="AD25" s="57"/>
      <c r="AE25" s="65">
        <f t="shared" si="4"/>
        <v>-0.79043715872201181</v>
      </c>
      <c r="AF25" s="57"/>
    </row>
    <row r="26" spans="1:33" x14ac:dyDescent="0.2">
      <c r="Z26" s="57"/>
      <c r="AB26" s="57"/>
      <c r="AD26" s="57"/>
      <c r="AF26" s="57"/>
    </row>
    <row r="27" spans="1:33" x14ac:dyDescent="0.2">
      <c r="A27" s="54" t="s">
        <v>1330</v>
      </c>
      <c r="Z27" s="57"/>
      <c r="AB27" s="57"/>
      <c r="AD27" s="57"/>
      <c r="AF27" s="57"/>
    </row>
    <row r="28" spans="1:33" x14ac:dyDescent="0.2">
      <c r="A28" s="59" t="s">
        <v>412</v>
      </c>
      <c r="B28" s="60" t="s">
        <v>252</v>
      </c>
      <c r="C28" s="79">
        <v>0</v>
      </c>
      <c r="D28" s="80"/>
      <c r="E28" s="79">
        <v>500</v>
      </c>
      <c r="F28" s="80"/>
      <c r="G28" s="79">
        <v>84806.5</v>
      </c>
      <c r="H28" s="79"/>
      <c r="I28" s="79">
        <v>0</v>
      </c>
      <c r="J28" s="79"/>
      <c r="K28" s="79">
        <v>0</v>
      </c>
      <c r="L28" s="79"/>
      <c r="M28" s="79">
        <v>0</v>
      </c>
      <c r="N28" s="79"/>
      <c r="O28" s="79">
        <f>PRODUCT(M28,0/12)</f>
        <v>0</v>
      </c>
      <c r="P28" s="79"/>
      <c r="Q28" s="79">
        <f>SUM(M28,O28)</f>
        <v>0</v>
      </c>
      <c r="R28" s="79"/>
      <c r="S28" s="79">
        <v>0</v>
      </c>
      <c r="T28" s="79"/>
      <c r="U28" s="79">
        <v>0</v>
      </c>
      <c r="V28" s="79"/>
      <c r="W28" s="79">
        <v>0</v>
      </c>
      <c r="X28" s="79"/>
      <c r="Y28" s="79">
        <f>SUM(W28,-I28)</f>
        <v>0</v>
      </c>
      <c r="Z28" s="62"/>
      <c r="AA28" s="63" t="str">
        <f t="shared" ref="AA28:AA33" si="6">IF(W28=0,"N/A",PRODUCT(Y28,1/I28))</f>
        <v>N/A</v>
      </c>
      <c r="AB28" s="62"/>
      <c r="AC28" s="79">
        <f>SUM(W28,-Q28)</f>
        <v>0</v>
      </c>
      <c r="AD28" s="62"/>
      <c r="AE28" s="63" t="str">
        <f t="shared" ref="AE28:AE33" si="7">IF(W28=0,"N/A",PRODUCT(AC28,1/Q28))</f>
        <v>N/A</v>
      </c>
      <c r="AF28" s="57"/>
    </row>
    <row r="29" spans="1:33" x14ac:dyDescent="0.2">
      <c r="A29" s="55" t="s">
        <v>411</v>
      </c>
      <c r="B29" s="56" t="s">
        <v>256</v>
      </c>
      <c r="C29" s="86">
        <v>1356.31</v>
      </c>
      <c r="E29" s="77">
        <v>1160</v>
      </c>
      <c r="G29" s="77">
        <v>1800</v>
      </c>
      <c r="I29" s="77">
        <v>500</v>
      </c>
      <c r="K29" s="77">
        <v>500</v>
      </c>
      <c r="M29" s="77">
        <v>1200</v>
      </c>
      <c r="O29" s="77">
        <v>0</v>
      </c>
      <c r="Q29" s="77">
        <f>SUM(M29,O29)</f>
        <v>1200</v>
      </c>
      <c r="S29" s="77">
        <v>1000</v>
      </c>
      <c r="U29" s="77">
        <v>1000</v>
      </c>
      <c r="W29" s="77">
        <v>1000</v>
      </c>
      <c r="Y29" s="77">
        <f>SUM(W29,-I29)</f>
        <v>500</v>
      </c>
      <c r="Z29" s="57"/>
      <c r="AA29" s="58">
        <f t="shared" si="6"/>
        <v>1</v>
      </c>
      <c r="AB29" s="57"/>
      <c r="AC29" s="77">
        <f>SUM(W29,-Q29)</f>
        <v>-200</v>
      </c>
      <c r="AD29" s="57"/>
      <c r="AE29" s="58">
        <f t="shared" si="7"/>
        <v>-0.16666666666666669</v>
      </c>
      <c r="AF29" s="57"/>
    </row>
    <row r="30" spans="1:33" x14ac:dyDescent="0.2">
      <c r="A30" s="59" t="s">
        <v>413</v>
      </c>
      <c r="B30" s="60" t="s">
        <v>414</v>
      </c>
      <c r="C30" s="84">
        <v>0</v>
      </c>
      <c r="D30" s="80"/>
      <c r="E30" s="79">
        <v>16000</v>
      </c>
      <c r="F30" s="80"/>
      <c r="G30" s="79">
        <v>0</v>
      </c>
      <c r="H30" s="79"/>
      <c r="I30" s="79">
        <v>25000</v>
      </c>
      <c r="J30" s="79"/>
      <c r="K30" s="79">
        <v>25000</v>
      </c>
      <c r="L30" s="79"/>
      <c r="M30" s="79">
        <v>0</v>
      </c>
      <c r="N30" s="79"/>
      <c r="O30" s="79">
        <f>PRODUCT(M30,0/12)</f>
        <v>0</v>
      </c>
      <c r="P30" s="79"/>
      <c r="Q30" s="79">
        <f>SUM(M30,O30)</f>
        <v>0</v>
      </c>
      <c r="R30" s="79"/>
      <c r="S30" s="79">
        <v>0</v>
      </c>
      <c r="T30" s="79"/>
      <c r="U30" s="79">
        <v>0</v>
      </c>
      <c r="V30" s="79"/>
      <c r="W30" s="79">
        <v>0</v>
      </c>
      <c r="X30" s="79"/>
      <c r="Y30" s="79">
        <f>SUM(W30,-I30)</f>
        <v>-25000</v>
      </c>
      <c r="Z30" s="62"/>
      <c r="AA30" s="63" t="str">
        <f t="shared" si="6"/>
        <v>N/A</v>
      </c>
      <c r="AB30" s="62"/>
      <c r="AC30" s="79">
        <f>SUM(W30,-Q30)</f>
        <v>0</v>
      </c>
      <c r="AD30" s="62"/>
      <c r="AE30" s="63" t="str">
        <f t="shared" si="7"/>
        <v>N/A</v>
      </c>
      <c r="AF30" s="57"/>
    </row>
    <row r="31" spans="1:33" x14ac:dyDescent="0.2">
      <c r="A31" s="55" t="s">
        <v>415</v>
      </c>
      <c r="B31" s="56" t="s">
        <v>257</v>
      </c>
      <c r="C31" s="86">
        <v>5350</v>
      </c>
      <c r="E31" s="77">
        <v>16850</v>
      </c>
      <c r="G31" s="77">
        <v>6717.84</v>
      </c>
      <c r="I31" s="77">
        <v>0</v>
      </c>
      <c r="K31" s="77">
        <v>0</v>
      </c>
      <c r="M31" s="77">
        <v>300</v>
      </c>
      <c r="O31" s="77">
        <v>0</v>
      </c>
      <c r="Q31" s="77">
        <f>SUM(M31,O31)</f>
        <v>300</v>
      </c>
      <c r="S31" s="77">
        <v>0</v>
      </c>
      <c r="U31" s="77">
        <v>0</v>
      </c>
      <c r="W31" s="77">
        <v>0</v>
      </c>
      <c r="Y31" s="77">
        <f>SUM(W31,-I31)</f>
        <v>0</v>
      </c>
      <c r="Z31" s="57"/>
      <c r="AA31" s="58" t="str">
        <f t="shared" si="6"/>
        <v>N/A</v>
      </c>
      <c r="AB31" s="57"/>
      <c r="AC31" s="77">
        <f>SUM(W31,-Q31)</f>
        <v>-300</v>
      </c>
      <c r="AD31" s="57"/>
      <c r="AE31" s="58" t="str">
        <f t="shared" si="7"/>
        <v>N/A</v>
      </c>
      <c r="AF31" s="57"/>
    </row>
    <row r="32" spans="1:33" x14ac:dyDescent="0.2">
      <c r="A32" s="59" t="s">
        <v>416</v>
      </c>
      <c r="B32" s="60" t="s">
        <v>417</v>
      </c>
      <c r="C32" s="84">
        <v>341823.08</v>
      </c>
      <c r="D32" s="80"/>
      <c r="E32" s="79">
        <v>341003.85</v>
      </c>
      <c r="F32" s="80"/>
      <c r="G32" s="79">
        <v>374530.97</v>
      </c>
      <c r="H32" s="79"/>
      <c r="I32" s="79">
        <v>365000</v>
      </c>
      <c r="J32" s="79"/>
      <c r="K32" s="79">
        <v>365000</v>
      </c>
      <c r="L32" s="79"/>
      <c r="M32" s="79">
        <v>385282.29</v>
      </c>
      <c r="N32" s="79"/>
      <c r="O32" s="79">
        <f>PRODUCT(M32,0/12)</f>
        <v>0</v>
      </c>
      <c r="P32" s="79"/>
      <c r="Q32" s="79">
        <f>SUM(M32,O32)</f>
        <v>385282.29</v>
      </c>
      <c r="R32" s="79"/>
      <c r="S32" s="79">
        <v>415000</v>
      </c>
      <c r="T32" s="79"/>
      <c r="U32" s="79">
        <v>415000</v>
      </c>
      <c r="V32" s="79"/>
      <c r="W32" s="79">
        <v>415000</v>
      </c>
      <c r="X32" s="79"/>
      <c r="Y32" s="79">
        <f>SUM(W32,-I32)</f>
        <v>50000</v>
      </c>
      <c r="Z32" s="62"/>
      <c r="AA32" s="63">
        <f t="shared" si="6"/>
        <v>0.13698630136986303</v>
      </c>
      <c r="AB32" s="62"/>
      <c r="AC32" s="79">
        <f>SUM(W32,-Q32)</f>
        <v>29717.710000000021</v>
      </c>
      <c r="AD32" s="62"/>
      <c r="AE32" s="63">
        <f t="shared" si="7"/>
        <v>7.7132302136181816E-2</v>
      </c>
      <c r="AF32" s="57"/>
    </row>
    <row r="33" spans="1:33" x14ac:dyDescent="0.2">
      <c r="A33" s="64" t="s">
        <v>1331</v>
      </c>
      <c r="C33" s="81">
        <f>SUM(C28:C32)</f>
        <v>348529.39</v>
      </c>
      <c r="E33" s="81">
        <f>SUM(E28:E32)</f>
        <v>375513.85</v>
      </c>
      <c r="G33" s="81">
        <f>SUM(G28:G32)</f>
        <v>467855.30999999994</v>
      </c>
      <c r="I33" s="81">
        <f>SUM(I28:I32)</f>
        <v>390500</v>
      </c>
      <c r="K33" s="81">
        <f>SUM(K28:K32)</f>
        <v>390500</v>
      </c>
      <c r="M33" s="81">
        <f>SUM(M28:M32)</f>
        <v>386782.29</v>
      </c>
      <c r="O33" s="81">
        <f>SUM(O28:O32)</f>
        <v>0</v>
      </c>
      <c r="Q33" s="81">
        <f>SUM(Q28:Q32)</f>
        <v>386782.29</v>
      </c>
      <c r="S33" s="81">
        <f>SUM(S28:S32)</f>
        <v>416000</v>
      </c>
      <c r="U33" s="81">
        <f>SUM(U28:U32)</f>
        <v>416000</v>
      </c>
      <c r="W33" s="81">
        <f>SUM(W28:W32)</f>
        <v>416000</v>
      </c>
      <c r="Y33" s="81">
        <f>SUM(Y28:Y32)</f>
        <v>25500</v>
      </c>
      <c r="Z33" s="57"/>
      <c r="AA33" s="65">
        <f t="shared" si="6"/>
        <v>6.530089628681178E-2</v>
      </c>
      <c r="AB33" s="57"/>
      <c r="AC33" s="81">
        <f>SUM(AC28:AC32)</f>
        <v>29217.710000000021</v>
      </c>
      <c r="AD33" s="57"/>
      <c r="AE33" s="65">
        <f t="shared" si="7"/>
        <v>7.5540454553904263E-2</v>
      </c>
      <c r="AF33" s="57"/>
    </row>
    <row r="34" spans="1:33" x14ac:dyDescent="0.2">
      <c r="Z34" s="57"/>
      <c r="AB34" s="57"/>
      <c r="AD34" s="57"/>
      <c r="AF34" s="57"/>
    </row>
    <row r="35" spans="1:33" x14ac:dyDescent="0.2">
      <c r="A35" s="54" t="s">
        <v>1332</v>
      </c>
      <c r="Z35" s="57"/>
      <c r="AB35" s="57"/>
      <c r="AD35" s="57"/>
      <c r="AF35" s="57"/>
    </row>
    <row r="36" spans="1:33" x14ac:dyDescent="0.2">
      <c r="A36" s="59" t="s">
        <v>463</v>
      </c>
      <c r="B36" s="60" t="s">
        <v>464</v>
      </c>
      <c r="C36" s="84">
        <v>9000</v>
      </c>
      <c r="D36" s="80"/>
      <c r="E36" s="79">
        <v>9000</v>
      </c>
      <c r="F36" s="80"/>
      <c r="G36" s="79">
        <v>9000</v>
      </c>
      <c r="H36" s="79"/>
      <c r="I36" s="79">
        <v>9000</v>
      </c>
      <c r="J36" s="79"/>
      <c r="K36" s="79">
        <v>9000</v>
      </c>
      <c r="L36" s="79"/>
      <c r="M36" s="79">
        <v>9000</v>
      </c>
      <c r="N36" s="79"/>
      <c r="O36" s="79">
        <f>PRODUCT(M36,0/12)</f>
        <v>0</v>
      </c>
      <c r="P36" s="79"/>
      <c r="Q36" s="79">
        <f>SUM(M36,O36)</f>
        <v>9000</v>
      </c>
      <c r="R36" s="79"/>
      <c r="S36" s="79">
        <v>9000</v>
      </c>
      <c r="T36" s="79"/>
      <c r="U36" s="79">
        <v>9000</v>
      </c>
      <c r="V36" s="79"/>
      <c r="W36" s="79">
        <v>9000</v>
      </c>
      <c r="X36" s="79"/>
      <c r="Y36" s="79">
        <f>SUM(W36,-I36)</f>
        <v>0</v>
      </c>
      <c r="Z36" s="62"/>
      <c r="AA36" s="63">
        <f>IF(W36=0,"N/A",PRODUCT(Y36,1/I36))</f>
        <v>0</v>
      </c>
      <c r="AB36" s="62"/>
      <c r="AC36" s="79">
        <f>SUM(W36,-Q36)</f>
        <v>0</v>
      </c>
      <c r="AD36" s="62"/>
      <c r="AE36" s="63">
        <f>IF(W36=0,"N/A",PRODUCT(AC36,1/Q36))</f>
        <v>0</v>
      </c>
      <c r="AF36" s="57"/>
    </row>
    <row r="37" spans="1:33" x14ac:dyDescent="0.2">
      <c r="A37" s="64" t="s">
        <v>1333</v>
      </c>
      <c r="C37" s="81">
        <f>SUM(C36:C36)</f>
        <v>9000</v>
      </c>
      <c r="E37" s="81">
        <f>SUM(E36:E36)</f>
        <v>9000</v>
      </c>
      <c r="G37" s="81">
        <f>SUM(G36:G36)</f>
        <v>9000</v>
      </c>
      <c r="I37" s="81">
        <f>SUM(I36:I36)</f>
        <v>9000</v>
      </c>
      <c r="K37" s="81">
        <f>SUM(K36:K36)</f>
        <v>9000</v>
      </c>
      <c r="M37" s="81">
        <f>SUM(M36:M36)</f>
        <v>9000</v>
      </c>
      <c r="O37" s="81">
        <f>SUM(O36:O36)</f>
        <v>0</v>
      </c>
      <c r="Q37" s="81">
        <f>SUM(Q36:Q36)</f>
        <v>9000</v>
      </c>
      <c r="S37" s="81">
        <f>SUM(S36:S36)</f>
        <v>9000</v>
      </c>
      <c r="U37" s="81">
        <f>SUM(U36:U36)</f>
        <v>9000</v>
      </c>
      <c r="W37" s="81">
        <f>SUM(W36:W36)</f>
        <v>9000</v>
      </c>
      <c r="Y37" s="81">
        <f>SUM(Y36:Y36)</f>
        <v>0</v>
      </c>
      <c r="Z37" s="57"/>
      <c r="AA37" s="65">
        <f>IF(W37=0,"N/A",PRODUCT(Y37,1/I37))</f>
        <v>0</v>
      </c>
      <c r="AB37" s="57"/>
      <c r="AC37" s="81">
        <f>SUM(AC36:AC36)</f>
        <v>0</v>
      </c>
      <c r="AD37" s="57"/>
      <c r="AE37" s="65">
        <f>IF(W37=0,"N/A",PRODUCT(AC37,1/Q37))</f>
        <v>0</v>
      </c>
      <c r="AF37" s="57"/>
    </row>
    <row r="38" spans="1:33" x14ac:dyDescent="0.2">
      <c r="Z38" s="57"/>
      <c r="AB38" s="57"/>
      <c r="AD38" s="57"/>
      <c r="AF38" s="57"/>
    </row>
    <row r="39" spans="1:33" x14ac:dyDescent="0.2">
      <c r="A39" s="54" t="s">
        <v>1334</v>
      </c>
      <c r="Z39" s="57"/>
      <c r="AB39" s="57"/>
      <c r="AD39" s="57"/>
      <c r="AF39" s="57"/>
    </row>
    <row r="40" spans="1:33" x14ac:dyDescent="0.2">
      <c r="A40" s="59" t="s">
        <v>465</v>
      </c>
      <c r="B40" s="60" t="s">
        <v>466</v>
      </c>
      <c r="C40" s="84">
        <v>5055693.4400000004</v>
      </c>
      <c r="D40" s="80"/>
      <c r="E40" s="79">
        <v>5515084.8399999999</v>
      </c>
      <c r="F40" s="80"/>
      <c r="G40" s="79">
        <v>5918217.54</v>
      </c>
      <c r="H40" s="79"/>
      <c r="I40" s="79">
        <v>6470300</v>
      </c>
      <c r="J40" s="79"/>
      <c r="K40" s="79">
        <v>6470300</v>
      </c>
      <c r="L40" s="79"/>
      <c r="M40" s="79">
        <v>6475218.3300000001</v>
      </c>
      <c r="N40" s="79"/>
      <c r="O40" s="79">
        <v>0</v>
      </c>
      <c r="P40" s="79"/>
      <c r="Q40" s="79">
        <f t="shared" ref="Q40:Q48" si="8">SUM(M40,O40)</f>
        <v>6475218.3300000001</v>
      </c>
      <c r="R40" s="79"/>
      <c r="S40" s="79">
        <v>6830000</v>
      </c>
      <c r="T40" s="79"/>
      <c r="U40" s="79">
        <v>6830000</v>
      </c>
      <c r="V40" s="79"/>
      <c r="W40" s="79">
        <v>7079586</v>
      </c>
      <c r="X40" s="79"/>
      <c r="Y40" s="79">
        <f t="shared" ref="Y40:Y48" si="9">SUM(W40,-I40)</f>
        <v>609286</v>
      </c>
      <c r="Z40" s="62"/>
      <c r="AA40" s="63">
        <f t="shared" ref="AA40:AA48" si="10">IF(W40=0,"N/A",PRODUCT(Y40,1/I40))</f>
        <v>9.4166576511135483E-2</v>
      </c>
      <c r="AB40" s="62"/>
      <c r="AC40" s="79">
        <f t="shared" ref="AC40:AC48" si="11">SUM(W40,-Q40)</f>
        <v>604367.66999999993</v>
      </c>
      <c r="AD40" s="62"/>
      <c r="AE40" s="63">
        <f t="shared" ref="AE40:AE49" si="12">IF(W40=0,"N/A",PRODUCT(AC40,1/Q40))</f>
        <v>9.3335489121646326E-2</v>
      </c>
      <c r="AF40" s="57"/>
    </row>
    <row r="41" spans="1:33" x14ac:dyDescent="0.2">
      <c r="A41" s="55" t="s">
        <v>467</v>
      </c>
      <c r="B41" s="56" t="s">
        <v>468</v>
      </c>
      <c r="C41" s="86">
        <v>40317.54</v>
      </c>
      <c r="E41" s="77">
        <v>60745.15</v>
      </c>
      <c r="G41" s="77">
        <v>51584.52</v>
      </c>
      <c r="I41" s="77">
        <v>55000</v>
      </c>
      <c r="K41" s="77">
        <v>55000</v>
      </c>
      <c r="M41" s="77">
        <v>61392.160000000003</v>
      </c>
      <c r="O41" s="77">
        <v>0</v>
      </c>
      <c r="Q41" s="77">
        <f t="shared" si="8"/>
        <v>61392.160000000003</v>
      </c>
      <c r="S41" s="77">
        <v>50000</v>
      </c>
      <c r="U41" s="77">
        <v>50000</v>
      </c>
      <c r="W41" s="77">
        <v>55000</v>
      </c>
      <c r="Y41" s="77">
        <f t="shared" si="9"/>
        <v>0</v>
      </c>
      <c r="Z41" s="57"/>
      <c r="AA41" s="58">
        <f t="shared" si="10"/>
        <v>0</v>
      </c>
      <c r="AB41" s="57"/>
      <c r="AC41" s="77">
        <f t="shared" si="11"/>
        <v>-6392.1600000000035</v>
      </c>
      <c r="AD41" s="57"/>
      <c r="AE41" s="58">
        <f t="shared" si="12"/>
        <v>-0.104120135209447</v>
      </c>
      <c r="AF41" s="57"/>
    </row>
    <row r="42" spans="1:33" x14ac:dyDescent="0.2">
      <c r="A42" s="59" t="s">
        <v>469</v>
      </c>
      <c r="B42" s="60" t="s">
        <v>470</v>
      </c>
      <c r="C42" s="84">
        <v>68696.09</v>
      </c>
      <c r="D42" s="80"/>
      <c r="E42" s="79">
        <v>97385.48</v>
      </c>
      <c r="F42" s="80"/>
      <c r="G42" s="79">
        <v>142210.66</v>
      </c>
      <c r="H42" s="79"/>
      <c r="I42" s="79">
        <v>105000</v>
      </c>
      <c r="J42" s="79"/>
      <c r="K42" s="79">
        <v>105000</v>
      </c>
      <c r="L42" s="79"/>
      <c r="M42" s="79">
        <v>111427.39</v>
      </c>
      <c r="N42" s="79"/>
      <c r="O42" s="79">
        <f t="shared" ref="O42:O48" si="13">PRODUCT(M42,0/12)</f>
        <v>0</v>
      </c>
      <c r="P42" s="79"/>
      <c r="Q42" s="79">
        <f t="shared" si="8"/>
        <v>111427.39</v>
      </c>
      <c r="R42" s="79"/>
      <c r="S42" s="79">
        <v>135000</v>
      </c>
      <c r="T42" s="79"/>
      <c r="U42" s="79">
        <v>135000</v>
      </c>
      <c r="V42" s="79"/>
      <c r="W42" s="79">
        <v>135000</v>
      </c>
      <c r="X42" s="79"/>
      <c r="Y42" s="79">
        <f t="shared" si="9"/>
        <v>30000</v>
      </c>
      <c r="Z42" s="62"/>
      <c r="AA42" s="63">
        <f t="shared" si="10"/>
        <v>0.2857142857142857</v>
      </c>
      <c r="AB42" s="62"/>
      <c r="AC42" s="79">
        <f t="shared" si="11"/>
        <v>23572.61</v>
      </c>
      <c r="AD42" s="62"/>
      <c r="AE42" s="63">
        <f t="shared" si="12"/>
        <v>0.2115513070888585</v>
      </c>
      <c r="AF42" s="57"/>
    </row>
    <row r="43" spans="1:33" x14ac:dyDescent="0.2">
      <c r="A43" s="55" t="s">
        <v>471</v>
      </c>
      <c r="B43" s="56" t="s">
        <v>472</v>
      </c>
      <c r="C43" s="86">
        <v>1223411.5</v>
      </c>
      <c r="E43" s="77">
        <v>1587106.55</v>
      </c>
      <c r="G43" s="77">
        <v>2149076.85</v>
      </c>
      <c r="I43" s="77">
        <v>2310000</v>
      </c>
      <c r="K43" s="77">
        <v>2581250</v>
      </c>
      <c r="M43" s="77">
        <v>2273380.58</v>
      </c>
      <c r="O43" s="77">
        <f t="shared" si="13"/>
        <v>0</v>
      </c>
      <c r="Q43" s="77">
        <f t="shared" si="8"/>
        <v>2273380.58</v>
      </c>
      <c r="S43" s="77">
        <v>2625000</v>
      </c>
      <c r="U43" s="77">
        <v>2625000</v>
      </c>
      <c r="W43" s="77">
        <v>2625000</v>
      </c>
      <c r="Y43" s="77">
        <f t="shared" si="9"/>
        <v>315000</v>
      </c>
      <c r="Z43" s="57"/>
      <c r="AA43" s="58">
        <f t="shared" si="10"/>
        <v>0.13636363636363638</v>
      </c>
      <c r="AB43" s="57"/>
      <c r="AC43" s="77">
        <f t="shared" si="11"/>
        <v>351619.41999999993</v>
      </c>
      <c r="AD43" s="57"/>
      <c r="AE43" s="58">
        <f t="shared" si="12"/>
        <v>0.1546680846547919</v>
      </c>
      <c r="AF43" s="57"/>
      <c r="AG43" s="56" t="s">
        <v>1076</v>
      </c>
    </row>
    <row r="44" spans="1:33" x14ac:dyDescent="0.2">
      <c r="A44" s="59" t="s">
        <v>473</v>
      </c>
      <c r="B44" s="60" t="s">
        <v>474</v>
      </c>
      <c r="C44" s="84">
        <v>187496.08</v>
      </c>
      <c r="D44" s="80"/>
      <c r="E44" s="79">
        <v>188304.51</v>
      </c>
      <c r="F44" s="80"/>
      <c r="G44" s="79">
        <v>221649.13</v>
      </c>
      <c r="H44" s="79"/>
      <c r="I44" s="79">
        <v>192900</v>
      </c>
      <c r="J44" s="79"/>
      <c r="K44" s="79">
        <v>192900</v>
      </c>
      <c r="L44" s="79"/>
      <c r="M44" s="79">
        <v>228337.34</v>
      </c>
      <c r="N44" s="79"/>
      <c r="O44" s="79">
        <f t="shared" si="13"/>
        <v>0</v>
      </c>
      <c r="P44" s="79"/>
      <c r="Q44" s="79">
        <f t="shared" si="8"/>
        <v>228337.34</v>
      </c>
      <c r="R44" s="79"/>
      <c r="S44" s="79">
        <v>210000</v>
      </c>
      <c r="T44" s="79"/>
      <c r="U44" s="79">
        <v>210000</v>
      </c>
      <c r="V44" s="79"/>
      <c r="W44" s="79">
        <v>200000</v>
      </c>
      <c r="X44" s="79"/>
      <c r="Y44" s="79">
        <f t="shared" si="9"/>
        <v>7100</v>
      </c>
      <c r="Z44" s="62"/>
      <c r="AA44" s="63">
        <f t="shared" si="10"/>
        <v>3.6806635562467598E-2</v>
      </c>
      <c r="AB44" s="62"/>
      <c r="AC44" s="79">
        <f t="shared" si="11"/>
        <v>-28337.339999999997</v>
      </c>
      <c r="AD44" s="62"/>
      <c r="AE44" s="63">
        <f t="shared" si="12"/>
        <v>-0.12410296099621723</v>
      </c>
      <c r="AF44" s="57"/>
      <c r="AG44" s="56" t="s">
        <v>1077</v>
      </c>
    </row>
    <row r="45" spans="1:33" x14ac:dyDescent="0.2">
      <c r="A45" s="55" t="s">
        <v>475</v>
      </c>
      <c r="B45" s="56" t="s">
        <v>476</v>
      </c>
      <c r="C45" s="86">
        <v>7819.6</v>
      </c>
      <c r="E45" s="77">
        <v>8941.2800000000007</v>
      </c>
      <c r="G45" s="77">
        <v>7613.17</v>
      </c>
      <c r="I45" s="77">
        <v>8750</v>
      </c>
      <c r="K45" s="77">
        <v>8750</v>
      </c>
      <c r="M45" s="77">
        <v>6705.97</v>
      </c>
      <c r="O45" s="77">
        <f t="shared" si="13"/>
        <v>0</v>
      </c>
      <c r="Q45" s="77">
        <f t="shared" si="8"/>
        <v>6705.97</v>
      </c>
      <c r="S45" s="77">
        <v>7500</v>
      </c>
      <c r="U45" s="77">
        <v>7500</v>
      </c>
      <c r="W45" s="77">
        <v>8000</v>
      </c>
      <c r="Y45" s="77">
        <f t="shared" si="9"/>
        <v>-750</v>
      </c>
      <c r="Z45" s="57"/>
      <c r="AA45" s="58">
        <f t="shared" si="10"/>
        <v>-8.5714285714285715E-2</v>
      </c>
      <c r="AB45" s="57"/>
      <c r="AC45" s="77">
        <f t="shared" si="11"/>
        <v>1294.0299999999997</v>
      </c>
      <c r="AD45" s="57"/>
      <c r="AE45" s="58">
        <f t="shared" si="12"/>
        <v>0.19296686385414782</v>
      </c>
      <c r="AF45" s="57"/>
    </row>
    <row r="46" spans="1:33" x14ac:dyDescent="0.2">
      <c r="A46" s="59" t="s">
        <v>477</v>
      </c>
      <c r="B46" s="60" t="s">
        <v>256</v>
      </c>
      <c r="C46" s="84">
        <v>24.76</v>
      </c>
      <c r="D46" s="80"/>
      <c r="E46" s="79">
        <v>1150.6400000000001</v>
      </c>
      <c r="F46" s="80"/>
      <c r="G46" s="79">
        <v>0</v>
      </c>
      <c r="H46" s="79"/>
      <c r="I46" s="79">
        <v>0</v>
      </c>
      <c r="J46" s="79"/>
      <c r="K46" s="79">
        <v>0</v>
      </c>
      <c r="L46" s="79"/>
      <c r="M46" s="79">
        <v>0</v>
      </c>
      <c r="N46" s="79"/>
      <c r="O46" s="79">
        <f t="shared" si="13"/>
        <v>0</v>
      </c>
      <c r="P46" s="79"/>
      <c r="Q46" s="79">
        <f t="shared" si="8"/>
        <v>0</v>
      </c>
      <c r="R46" s="79"/>
      <c r="S46" s="79">
        <v>0</v>
      </c>
      <c r="T46" s="79"/>
      <c r="U46" s="79">
        <v>0</v>
      </c>
      <c r="V46" s="79"/>
      <c r="W46" s="79">
        <v>0</v>
      </c>
      <c r="X46" s="79"/>
      <c r="Y46" s="79">
        <f t="shared" si="9"/>
        <v>0</v>
      </c>
      <c r="Z46" s="62"/>
      <c r="AA46" s="63" t="str">
        <f t="shared" si="10"/>
        <v>N/A</v>
      </c>
      <c r="AB46" s="62"/>
      <c r="AC46" s="79">
        <f t="shared" si="11"/>
        <v>0</v>
      </c>
      <c r="AD46" s="62"/>
      <c r="AE46" s="63" t="str">
        <f t="shared" si="12"/>
        <v>N/A</v>
      </c>
      <c r="AF46" s="57"/>
    </row>
    <row r="47" spans="1:33" x14ac:dyDescent="0.2">
      <c r="A47" s="55" t="s">
        <v>478</v>
      </c>
      <c r="B47" s="56" t="s">
        <v>479</v>
      </c>
      <c r="C47" s="86">
        <v>37556.14</v>
      </c>
      <c r="E47" s="77">
        <v>29203.4</v>
      </c>
      <c r="G47" s="77">
        <v>16609.52</v>
      </c>
      <c r="I47" s="77">
        <v>30900</v>
      </c>
      <c r="K47" s="77">
        <v>78900</v>
      </c>
      <c r="M47" s="77">
        <v>37220.26</v>
      </c>
      <c r="O47" s="77">
        <f t="shared" si="13"/>
        <v>0</v>
      </c>
      <c r="Q47" s="77">
        <f t="shared" si="8"/>
        <v>37220.26</v>
      </c>
      <c r="S47" s="77">
        <v>30000</v>
      </c>
      <c r="U47" s="77">
        <v>30000</v>
      </c>
      <c r="W47" s="77">
        <v>30000</v>
      </c>
      <c r="Y47" s="77">
        <f t="shared" si="9"/>
        <v>-900</v>
      </c>
      <c r="Z47" s="57"/>
      <c r="AA47" s="58">
        <f t="shared" si="10"/>
        <v>-2.9126213592233007E-2</v>
      </c>
      <c r="AB47" s="57"/>
      <c r="AC47" s="77">
        <f t="shared" si="11"/>
        <v>-7220.260000000002</v>
      </c>
      <c r="AD47" s="57"/>
      <c r="AE47" s="58">
        <f t="shared" si="12"/>
        <v>-0.19398736064713146</v>
      </c>
      <c r="AF47" s="57"/>
    </row>
    <row r="48" spans="1:33" x14ac:dyDescent="0.2">
      <c r="A48" s="59" t="s">
        <v>480</v>
      </c>
      <c r="B48" s="60" t="s">
        <v>481</v>
      </c>
      <c r="C48" s="84">
        <v>7511.21</v>
      </c>
      <c r="D48" s="80"/>
      <c r="E48" s="79">
        <v>4825.32</v>
      </c>
      <c r="F48" s="80"/>
      <c r="G48" s="79">
        <v>0</v>
      </c>
      <c r="H48" s="79"/>
      <c r="I48" s="79">
        <v>0</v>
      </c>
      <c r="J48" s="79"/>
      <c r="K48" s="79">
        <v>0</v>
      </c>
      <c r="L48" s="79"/>
      <c r="M48" s="79">
        <v>0</v>
      </c>
      <c r="N48" s="79"/>
      <c r="O48" s="79">
        <f t="shared" si="13"/>
        <v>0</v>
      </c>
      <c r="P48" s="79"/>
      <c r="Q48" s="79">
        <f t="shared" si="8"/>
        <v>0</v>
      </c>
      <c r="R48" s="79"/>
      <c r="S48" s="79">
        <v>0</v>
      </c>
      <c r="T48" s="79"/>
      <c r="U48" s="79">
        <v>0</v>
      </c>
      <c r="V48" s="79"/>
      <c r="W48" s="79">
        <v>0</v>
      </c>
      <c r="X48" s="79"/>
      <c r="Y48" s="79">
        <f t="shared" si="9"/>
        <v>0</v>
      </c>
      <c r="Z48" s="62"/>
      <c r="AA48" s="63" t="str">
        <f t="shared" si="10"/>
        <v>N/A</v>
      </c>
      <c r="AB48" s="62"/>
      <c r="AC48" s="79">
        <f t="shared" si="11"/>
        <v>0</v>
      </c>
      <c r="AD48" s="62"/>
      <c r="AE48" s="63" t="str">
        <f t="shared" si="12"/>
        <v>N/A</v>
      </c>
      <c r="AF48" s="57"/>
    </row>
    <row r="49" spans="1:33" x14ac:dyDescent="0.2">
      <c r="A49" s="64" t="s">
        <v>1335</v>
      </c>
      <c r="C49" s="81">
        <f>SUM(C40:C48)</f>
        <v>6628526.3599999994</v>
      </c>
      <c r="E49" s="81">
        <f>SUM(E40:E48)</f>
        <v>7492747.1700000009</v>
      </c>
      <c r="F49" s="77"/>
      <c r="G49" s="81">
        <f>SUM(G40:G48)</f>
        <v>8506961.3900000006</v>
      </c>
      <c r="I49" s="81">
        <f>SUM(I40:I48)</f>
        <v>9172850</v>
      </c>
      <c r="K49" s="81">
        <f>SUM(K40:K48)</f>
        <v>9492100</v>
      </c>
      <c r="M49" s="81">
        <f>SUM(M40:M48)</f>
        <v>9193682.0300000012</v>
      </c>
      <c r="O49" s="81">
        <f>SUM(O40:O48)</f>
        <v>0</v>
      </c>
      <c r="Q49" s="81">
        <f>SUM(Q40:Q48)</f>
        <v>9193682.0300000012</v>
      </c>
      <c r="S49" s="81">
        <f>SUM(S40:S48)</f>
        <v>9887500</v>
      </c>
      <c r="U49" s="81">
        <f>SUM(U40:U48)</f>
        <v>9887500</v>
      </c>
      <c r="W49" s="81">
        <f>SUM(W40:W48)</f>
        <v>10132586</v>
      </c>
      <c r="Y49" s="81">
        <f>SUM(Y40:Y48)</f>
        <v>959736</v>
      </c>
      <c r="Z49" s="57"/>
      <c r="AA49" s="65">
        <f>IF(W49=0,"N/A",PRODUCT(Y49,1/I49))</f>
        <v>0.10462789645530016</v>
      </c>
      <c r="AB49" s="57"/>
      <c r="AC49" s="81">
        <f>SUM(AC40:AC48)</f>
        <v>938903.96999999986</v>
      </c>
      <c r="AD49" s="57"/>
      <c r="AE49" s="65">
        <f t="shared" si="12"/>
        <v>0.1021249121882019</v>
      </c>
      <c r="AF49" s="57"/>
    </row>
    <row r="50" spans="1:33" x14ac:dyDescent="0.2">
      <c r="Z50" s="57"/>
      <c r="AB50" s="57"/>
      <c r="AD50" s="57"/>
      <c r="AF50" s="57"/>
    </row>
    <row r="51" spans="1:33" x14ac:dyDescent="0.2">
      <c r="A51" s="54" t="s">
        <v>1336</v>
      </c>
      <c r="Z51" s="57"/>
      <c r="AB51" s="57"/>
      <c r="AD51" s="57"/>
      <c r="AF51" s="57"/>
    </row>
    <row r="52" spans="1:33" x14ac:dyDescent="0.2">
      <c r="A52" s="55" t="s">
        <v>482</v>
      </c>
      <c r="B52" s="56" t="s">
        <v>252</v>
      </c>
      <c r="C52" s="86">
        <v>11116.38</v>
      </c>
      <c r="E52" s="77">
        <v>2920.15</v>
      </c>
      <c r="G52" s="77">
        <v>11555.81</v>
      </c>
      <c r="I52" s="77">
        <v>5000</v>
      </c>
      <c r="K52" s="77">
        <v>5000</v>
      </c>
      <c r="M52" s="77">
        <v>14366.98</v>
      </c>
      <c r="O52" s="77">
        <f>PRODUCT(M52,0/12)</f>
        <v>0</v>
      </c>
      <c r="Q52" s="77">
        <f>SUM(M52,O52)</f>
        <v>14366.98</v>
      </c>
      <c r="S52" s="77">
        <v>5000</v>
      </c>
      <c r="U52" s="77">
        <v>5000</v>
      </c>
      <c r="W52" s="77">
        <v>5000</v>
      </c>
      <c r="Y52" s="77">
        <f>SUM(W52,-I52)</f>
        <v>0</v>
      </c>
      <c r="Z52" s="57"/>
      <c r="AA52" s="58">
        <f>IF(W52=0,"N/A",PRODUCT(Y52,1/I52))</f>
        <v>0</v>
      </c>
      <c r="AB52" s="57"/>
      <c r="AC52" s="77">
        <f>SUM(W52,-Q52)</f>
        <v>-9366.98</v>
      </c>
      <c r="AD52" s="57"/>
      <c r="AE52" s="58">
        <f>IF(W52=0,"N/A",PRODUCT(AC52,1/Q52))</f>
        <v>-0.65197974800549585</v>
      </c>
      <c r="AF52" s="57"/>
    </row>
    <row r="53" spans="1:33" x14ac:dyDescent="0.2">
      <c r="A53" s="59" t="s">
        <v>483</v>
      </c>
      <c r="B53" s="60" t="s">
        <v>256</v>
      </c>
      <c r="C53" s="84">
        <v>377</v>
      </c>
      <c r="D53" s="80"/>
      <c r="E53" s="79">
        <v>1099.45</v>
      </c>
      <c r="F53" s="80"/>
      <c r="G53" s="79">
        <v>635</v>
      </c>
      <c r="H53" s="79"/>
      <c r="I53" s="79">
        <v>750</v>
      </c>
      <c r="J53" s="79"/>
      <c r="K53" s="79">
        <v>750</v>
      </c>
      <c r="L53" s="79"/>
      <c r="M53" s="79">
        <v>16428.86</v>
      </c>
      <c r="N53" s="79"/>
      <c r="O53" s="79">
        <f>PRODUCT(M53,0/12)</f>
        <v>0</v>
      </c>
      <c r="P53" s="79"/>
      <c r="Q53" s="79">
        <f>SUM(M53,O53)</f>
        <v>16428.86</v>
      </c>
      <c r="R53" s="79"/>
      <c r="S53" s="79">
        <v>1000</v>
      </c>
      <c r="T53" s="79"/>
      <c r="U53" s="79">
        <v>1000</v>
      </c>
      <c r="V53" s="79"/>
      <c r="W53" s="79">
        <v>1000</v>
      </c>
      <c r="X53" s="79"/>
      <c r="Y53" s="79">
        <f>SUM(W53,-I53)</f>
        <v>250</v>
      </c>
      <c r="Z53" s="62"/>
      <c r="AA53" s="63">
        <f>IF(W53=0,"N/A",PRODUCT(Y53,1/I53))</f>
        <v>0.33333333333333331</v>
      </c>
      <c r="AB53" s="62"/>
      <c r="AC53" s="79">
        <f>SUM(W53,-Q53)</f>
        <v>-15428.86</v>
      </c>
      <c r="AD53" s="62"/>
      <c r="AE53" s="63">
        <f>IF(W53=0,"N/A",PRODUCT(AC53,1/Q53))</f>
        <v>-0.93913150395097411</v>
      </c>
      <c r="AF53" s="57"/>
      <c r="AG53" s="56" t="s">
        <v>1078</v>
      </c>
    </row>
    <row r="54" spans="1:33" x14ac:dyDescent="0.2">
      <c r="A54" s="55" t="s">
        <v>484</v>
      </c>
      <c r="B54" s="56" t="s">
        <v>414</v>
      </c>
      <c r="C54" s="86">
        <v>20000</v>
      </c>
      <c r="E54" s="77">
        <v>12000</v>
      </c>
      <c r="G54" s="77">
        <v>0</v>
      </c>
      <c r="I54" s="77">
        <v>27000</v>
      </c>
      <c r="K54" s="77">
        <v>27000</v>
      </c>
      <c r="M54" s="77">
        <v>27500</v>
      </c>
      <c r="O54" s="77">
        <f>PRODUCT(M54,0/12)</f>
        <v>0</v>
      </c>
      <c r="Q54" s="77">
        <f>SUM(M54,O54)</f>
        <v>27500</v>
      </c>
      <c r="S54" s="77">
        <v>10000</v>
      </c>
      <c r="U54" s="77">
        <v>10000</v>
      </c>
      <c r="W54" s="77">
        <v>10000</v>
      </c>
      <c r="Y54" s="77">
        <f>SUM(W54,-I54)</f>
        <v>-17000</v>
      </c>
      <c r="Z54" s="57"/>
      <c r="AA54" s="58">
        <f>IF(W54=0,"N/A",PRODUCT(Y54,1/I54))</f>
        <v>-0.62962962962962965</v>
      </c>
      <c r="AB54" s="57"/>
      <c r="AC54" s="77">
        <f>SUM(W54,-Q54)</f>
        <v>-17500</v>
      </c>
      <c r="AD54" s="57"/>
      <c r="AE54" s="58">
        <f>IF(W54=0,"N/A",PRODUCT(AC54,1/Q54))</f>
        <v>-0.63636363636363635</v>
      </c>
      <c r="AF54" s="57"/>
    </row>
    <row r="55" spans="1:33" x14ac:dyDescent="0.2">
      <c r="A55" s="59" t="s">
        <v>485</v>
      </c>
      <c r="B55" s="60" t="s">
        <v>257</v>
      </c>
      <c r="C55" s="84">
        <v>5100</v>
      </c>
      <c r="D55" s="80"/>
      <c r="E55" s="79">
        <v>5000</v>
      </c>
      <c r="F55" s="80"/>
      <c r="G55" s="79">
        <v>16851.41</v>
      </c>
      <c r="H55" s="79"/>
      <c r="I55" s="79">
        <v>0</v>
      </c>
      <c r="J55" s="79"/>
      <c r="K55" s="79">
        <v>0</v>
      </c>
      <c r="L55" s="79"/>
      <c r="M55" s="79">
        <v>0</v>
      </c>
      <c r="N55" s="79"/>
      <c r="O55" s="79">
        <f>PRODUCT(M55,0/12)</f>
        <v>0</v>
      </c>
      <c r="P55" s="79"/>
      <c r="Q55" s="79">
        <f>SUM(M55,O55)</f>
        <v>0</v>
      </c>
      <c r="R55" s="79"/>
      <c r="S55" s="79">
        <v>0</v>
      </c>
      <c r="T55" s="79"/>
      <c r="U55" s="79">
        <v>0</v>
      </c>
      <c r="V55" s="79"/>
      <c r="W55" s="79">
        <v>0</v>
      </c>
      <c r="X55" s="79"/>
      <c r="Y55" s="79">
        <f>SUM(W55,-I55)</f>
        <v>0</v>
      </c>
      <c r="Z55" s="62"/>
      <c r="AA55" s="63" t="str">
        <f>IF(W55=0,"N/A",PRODUCT(Y55,1/I55))</f>
        <v>N/A</v>
      </c>
      <c r="AB55" s="62"/>
      <c r="AC55" s="79">
        <f>SUM(W55,-Q55)</f>
        <v>0</v>
      </c>
      <c r="AD55" s="62"/>
      <c r="AE55" s="63" t="str">
        <f>IF(W55=0,"N/A",PRODUCT(AC55,1/Q55))</f>
        <v>N/A</v>
      </c>
      <c r="AF55" s="57"/>
    </row>
    <row r="56" spans="1:33" x14ac:dyDescent="0.2">
      <c r="A56" s="64" t="s">
        <v>1337</v>
      </c>
      <c r="C56" s="81">
        <f>SUM(C52:C55)</f>
        <v>36593.379999999997</v>
      </c>
      <c r="E56" s="81">
        <f>SUM(E52:E55)</f>
        <v>21019.599999999999</v>
      </c>
      <c r="F56" s="77"/>
      <c r="G56" s="81">
        <f>SUM(G52:G55)</f>
        <v>29042.22</v>
      </c>
      <c r="I56" s="81">
        <f>SUM(I52:I55)</f>
        <v>32750</v>
      </c>
      <c r="K56" s="81">
        <f>SUM(K52:K55)</f>
        <v>32750</v>
      </c>
      <c r="M56" s="81">
        <f>SUM(M52:M55)</f>
        <v>58295.839999999997</v>
      </c>
      <c r="O56" s="81">
        <f>SUM(O52:O55)</f>
        <v>0</v>
      </c>
      <c r="Q56" s="81">
        <f>SUM(Q52:Q55)</f>
        <v>58295.839999999997</v>
      </c>
      <c r="S56" s="81">
        <f>SUM(S52:S55)</f>
        <v>16000</v>
      </c>
      <c r="U56" s="81">
        <f>SUM(U52:U55)</f>
        <v>16000</v>
      </c>
      <c r="W56" s="81">
        <f>SUM(W52:W55)</f>
        <v>16000</v>
      </c>
      <c r="Y56" s="81">
        <f>SUM(Y52:Y55)</f>
        <v>-16750</v>
      </c>
      <c r="Z56" s="57"/>
      <c r="AA56" s="65">
        <f>IF(W56=0,"N/A",PRODUCT(Y56,1/I56))</f>
        <v>-0.51145038167938928</v>
      </c>
      <c r="AB56" s="57"/>
      <c r="AC56" s="81">
        <f>SUM(AC52:AC55)</f>
        <v>-42295.839999999997</v>
      </c>
      <c r="AD56" s="57"/>
      <c r="AE56" s="65">
        <f>IF(W56=0,"N/A",PRODUCT(AC56,1/Q56))</f>
        <v>-0.72553787714526452</v>
      </c>
      <c r="AF56" s="57"/>
    </row>
    <row r="57" spans="1:33" x14ac:dyDescent="0.2">
      <c r="Z57" s="57"/>
      <c r="AB57" s="57"/>
      <c r="AD57" s="57"/>
      <c r="AF57" s="57"/>
    </row>
    <row r="58" spans="1:33" x14ac:dyDescent="0.2">
      <c r="A58" s="54" t="s">
        <v>1338</v>
      </c>
      <c r="Z58" s="57"/>
      <c r="AB58" s="57"/>
      <c r="AD58" s="57"/>
      <c r="AF58" s="57"/>
    </row>
    <row r="59" spans="1:33" x14ac:dyDescent="0.2">
      <c r="A59" s="55" t="s">
        <v>666</v>
      </c>
      <c r="B59" s="56" t="s">
        <v>675</v>
      </c>
      <c r="C59" s="86">
        <v>1392.39</v>
      </c>
      <c r="E59" s="77">
        <v>2798.97</v>
      </c>
      <c r="G59" s="77">
        <v>4453.21</v>
      </c>
      <c r="I59" s="77">
        <v>6250</v>
      </c>
      <c r="K59" s="77">
        <v>6250</v>
      </c>
      <c r="M59" s="77">
        <v>8839.18</v>
      </c>
      <c r="O59" s="77">
        <f t="shared" ref="O59:O68" si="14">PRODUCT(M59,0/12)</f>
        <v>0</v>
      </c>
      <c r="Q59" s="77">
        <f t="shared" ref="Q59:Q68" si="15">SUM(M59,O59)</f>
        <v>8839.18</v>
      </c>
      <c r="S59" s="77">
        <v>7000</v>
      </c>
      <c r="U59" s="86">
        <v>7000</v>
      </c>
      <c r="W59" s="77">
        <v>7000</v>
      </c>
      <c r="Y59" s="77">
        <f t="shared" ref="Y59:Y68" si="16">SUM(W59,-I59)</f>
        <v>750</v>
      </c>
      <c r="Z59" s="57"/>
      <c r="AA59" s="58">
        <f>IF(W59=0,"N/A",PRODUCT(Y59,1/I59))</f>
        <v>0.12000000000000001</v>
      </c>
      <c r="AB59" s="57"/>
      <c r="AC59" s="77">
        <f t="shared" ref="AC59:AC68" si="17">SUM(W59,-Q59)</f>
        <v>-1839.1800000000003</v>
      </c>
      <c r="AD59" s="57"/>
      <c r="AE59" s="58">
        <f t="shared" ref="AE59:AE69" si="18">IF(W59=0,"N/A",PRODUCT(AC59,1/Q59))</f>
        <v>-0.20807133693396901</v>
      </c>
      <c r="AF59" s="57"/>
    </row>
    <row r="60" spans="1:33" x14ac:dyDescent="0.2">
      <c r="A60" s="59" t="s">
        <v>667</v>
      </c>
      <c r="B60" s="60" t="s">
        <v>256</v>
      </c>
      <c r="C60" s="84">
        <v>4.0999999999999996</v>
      </c>
      <c r="D60" s="80"/>
      <c r="E60" s="79">
        <v>1103.5</v>
      </c>
      <c r="F60" s="80"/>
      <c r="G60" s="79">
        <v>1250</v>
      </c>
      <c r="H60" s="79"/>
      <c r="I60" s="79">
        <v>1500</v>
      </c>
      <c r="J60" s="79"/>
      <c r="K60" s="79">
        <v>1500</v>
      </c>
      <c r="L60" s="79"/>
      <c r="M60" s="79">
        <v>4900</v>
      </c>
      <c r="N60" s="79"/>
      <c r="O60" s="79">
        <f t="shared" si="14"/>
        <v>0</v>
      </c>
      <c r="P60" s="79"/>
      <c r="Q60" s="79">
        <f t="shared" si="15"/>
        <v>4900</v>
      </c>
      <c r="R60" s="79"/>
      <c r="S60" s="79">
        <v>1500</v>
      </c>
      <c r="T60" s="79"/>
      <c r="U60" s="84">
        <v>1500</v>
      </c>
      <c r="V60" s="79"/>
      <c r="W60" s="79">
        <v>1500</v>
      </c>
      <c r="X60" s="79"/>
      <c r="Y60" s="79">
        <f t="shared" si="16"/>
        <v>0</v>
      </c>
      <c r="Z60" s="62"/>
      <c r="AA60" s="63">
        <f t="shared" ref="AA60:AA69" si="19">IF(W60=0,"N/A",PRODUCT(Y60,1/I60))</f>
        <v>0</v>
      </c>
      <c r="AB60" s="62"/>
      <c r="AC60" s="79">
        <f t="shared" si="17"/>
        <v>-3400</v>
      </c>
      <c r="AD60" s="62"/>
      <c r="AE60" s="63">
        <f t="shared" si="18"/>
        <v>-0.69387755102040816</v>
      </c>
      <c r="AF60" s="57"/>
    </row>
    <row r="61" spans="1:33" x14ac:dyDescent="0.2">
      <c r="A61" s="55" t="s">
        <v>668</v>
      </c>
      <c r="B61" s="56" t="s">
        <v>414</v>
      </c>
      <c r="C61" s="86">
        <v>0</v>
      </c>
      <c r="E61" s="77">
        <v>0</v>
      </c>
      <c r="G61" s="77">
        <v>0</v>
      </c>
      <c r="I61" s="77">
        <v>0</v>
      </c>
      <c r="K61" s="77">
        <v>0</v>
      </c>
      <c r="M61" s="77">
        <v>1000</v>
      </c>
      <c r="O61" s="77">
        <f t="shared" si="14"/>
        <v>0</v>
      </c>
      <c r="Q61" s="77">
        <f t="shared" si="15"/>
        <v>1000</v>
      </c>
      <c r="S61" s="77">
        <v>0</v>
      </c>
      <c r="U61" s="86">
        <v>0</v>
      </c>
      <c r="W61" s="77">
        <v>0</v>
      </c>
      <c r="Y61" s="77">
        <f t="shared" si="16"/>
        <v>0</v>
      </c>
      <c r="Z61" s="57"/>
      <c r="AA61" s="58" t="str">
        <f t="shared" si="19"/>
        <v>N/A</v>
      </c>
      <c r="AB61" s="57"/>
      <c r="AC61" s="77">
        <f t="shared" si="17"/>
        <v>-1000</v>
      </c>
      <c r="AD61" s="57"/>
      <c r="AE61" s="58" t="str">
        <f t="shared" si="18"/>
        <v>N/A</v>
      </c>
      <c r="AF61" s="57"/>
      <c r="AG61" s="56" t="s">
        <v>1079</v>
      </c>
    </row>
    <row r="62" spans="1:33" x14ac:dyDescent="0.2">
      <c r="A62" s="59" t="s">
        <v>669</v>
      </c>
      <c r="B62" s="60" t="s">
        <v>640</v>
      </c>
      <c r="C62" s="84">
        <v>363037.03</v>
      </c>
      <c r="D62" s="80"/>
      <c r="E62" s="79">
        <v>457016.67</v>
      </c>
      <c r="F62" s="80"/>
      <c r="G62" s="79">
        <v>563587.44999999995</v>
      </c>
      <c r="H62" s="79"/>
      <c r="I62" s="79">
        <v>606000</v>
      </c>
      <c r="J62" s="79"/>
      <c r="K62" s="79">
        <v>606000</v>
      </c>
      <c r="L62" s="79"/>
      <c r="M62" s="79">
        <v>953996.9</v>
      </c>
      <c r="N62" s="79"/>
      <c r="O62" s="79">
        <f t="shared" si="14"/>
        <v>0</v>
      </c>
      <c r="P62" s="79"/>
      <c r="Q62" s="79">
        <f t="shared" si="15"/>
        <v>953996.9</v>
      </c>
      <c r="R62" s="79"/>
      <c r="S62" s="79">
        <v>700000</v>
      </c>
      <c r="T62" s="79"/>
      <c r="U62" s="84">
        <v>575000</v>
      </c>
      <c r="V62" s="79"/>
      <c r="W62" s="79">
        <v>575000</v>
      </c>
      <c r="X62" s="79"/>
      <c r="Y62" s="79">
        <f t="shared" si="16"/>
        <v>-31000</v>
      </c>
      <c r="Z62" s="62"/>
      <c r="AA62" s="63">
        <f t="shared" si="19"/>
        <v>-5.1155115511551157E-2</v>
      </c>
      <c r="AB62" s="62"/>
      <c r="AC62" s="79">
        <f t="shared" si="17"/>
        <v>-378996.9</v>
      </c>
      <c r="AD62" s="62"/>
      <c r="AE62" s="63">
        <f t="shared" si="18"/>
        <v>-0.39727267457577692</v>
      </c>
      <c r="AF62" s="57"/>
    </row>
    <row r="63" spans="1:33" x14ac:dyDescent="0.2">
      <c r="A63" s="55" t="s">
        <v>670</v>
      </c>
      <c r="B63" s="56" t="s">
        <v>641</v>
      </c>
      <c r="C63" s="86">
        <v>3600</v>
      </c>
      <c r="E63" s="77">
        <v>6300</v>
      </c>
      <c r="G63" s="77">
        <v>16880</v>
      </c>
      <c r="I63" s="77">
        <v>12000</v>
      </c>
      <c r="K63" s="77">
        <v>12000</v>
      </c>
      <c r="M63" s="77">
        <v>24640</v>
      </c>
      <c r="O63" s="77">
        <f t="shared" si="14"/>
        <v>0</v>
      </c>
      <c r="Q63" s="77">
        <f t="shared" si="15"/>
        <v>24640</v>
      </c>
      <c r="S63" s="77">
        <v>16000</v>
      </c>
      <c r="U63" s="86">
        <v>12500</v>
      </c>
      <c r="W63" s="77">
        <v>16000</v>
      </c>
      <c r="Y63" s="77">
        <f t="shared" si="16"/>
        <v>4000</v>
      </c>
      <c r="Z63" s="57"/>
      <c r="AA63" s="58">
        <f t="shared" si="19"/>
        <v>0.33333333333333331</v>
      </c>
      <c r="AB63" s="57"/>
      <c r="AC63" s="77">
        <f t="shared" si="17"/>
        <v>-8640</v>
      </c>
      <c r="AD63" s="57"/>
      <c r="AE63" s="58">
        <f>IF(W63=0,"N/A",PRODUCT(AC63,1/Q63))</f>
        <v>-0.35064935064935066</v>
      </c>
      <c r="AF63" s="57"/>
    </row>
    <row r="64" spans="1:33" x14ac:dyDescent="0.2">
      <c r="A64" s="59" t="s">
        <v>671</v>
      </c>
      <c r="B64" s="60" t="s">
        <v>642</v>
      </c>
      <c r="C64" s="84">
        <v>5304.5</v>
      </c>
      <c r="D64" s="80"/>
      <c r="E64" s="79">
        <v>4120.0600000000004</v>
      </c>
      <c r="F64" s="80"/>
      <c r="G64" s="79">
        <v>7234.5</v>
      </c>
      <c r="H64" s="79"/>
      <c r="I64" s="79">
        <v>5000</v>
      </c>
      <c r="J64" s="79"/>
      <c r="K64" s="79">
        <v>5000</v>
      </c>
      <c r="L64" s="79"/>
      <c r="M64" s="79">
        <v>24271</v>
      </c>
      <c r="N64" s="79"/>
      <c r="O64" s="79">
        <f t="shared" si="14"/>
        <v>0</v>
      </c>
      <c r="P64" s="79"/>
      <c r="Q64" s="79">
        <f t="shared" si="15"/>
        <v>24271</v>
      </c>
      <c r="R64" s="79"/>
      <c r="S64" s="79">
        <v>7500</v>
      </c>
      <c r="T64" s="79"/>
      <c r="U64" s="84">
        <v>7500</v>
      </c>
      <c r="V64" s="79"/>
      <c r="W64" s="79">
        <v>7500</v>
      </c>
      <c r="X64" s="79"/>
      <c r="Y64" s="79">
        <f t="shared" si="16"/>
        <v>2500</v>
      </c>
      <c r="Z64" s="62"/>
      <c r="AA64" s="63">
        <f t="shared" si="19"/>
        <v>0.5</v>
      </c>
      <c r="AB64" s="62"/>
      <c r="AC64" s="79">
        <f t="shared" si="17"/>
        <v>-16771</v>
      </c>
      <c r="AD64" s="62"/>
      <c r="AE64" s="63">
        <f t="shared" si="18"/>
        <v>-0.69098924642577553</v>
      </c>
      <c r="AF64" s="57"/>
    </row>
    <row r="65" spans="1:33" x14ac:dyDescent="0.2">
      <c r="A65" s="55" t="s">
        <v>672</v>
      </c>
      <c r="B65" s="56" t="s">
        <v>643</v>
      </c>
      <c r="C65" s="86">
        <v>8800</v>
      </c>
      <c r="E65" s="77">
        <v>12900</v>
      </c>
      <c r="G65" s="77">
        <v>8000</v>
      </c>
      <c r="I65" s="77">
        <v>8500</v>
      </c>
      <c r="K65" s="77">
        <v>8500</v>
      </c>
      <c r="M65" s="77">
        <v>8100</v>
      </c>
      <c r="O65" s="77">
        <f t="shared" si="14"/>
        <v>0</v>
      </c>
      <c r="Q65" s="77">
        <f t="shared" si="15"/>
        <v>8100</v>
      </c>
      <c r="S65" s="77">
        <v>8000</v>
      </c>
      <c r="U65" s="86">
        <v>8000</v>
      </c>
      <c r="W65" s="77">
        <v>8000</v>
      </c>
      <c r="Y65" s="77">
        <f t="shared" si="16"/>
        <v>-500</v>
      </c>
      <c r="Z65" s="57"/>
      <c r="AA65" s="58">
        <f t="shared" si="19"/>
        <v>-5.8823529411764705E-2</v>
      </c>
      <c r="AB65" s="57"/>
      <c r="AC65" s="77">
        <f t="shared" si="17"/>
        <v>-100</v>
      </c>
      <c r="AD65" s="57"/>
      <c r="AE65" s="58">
        <f t="shared" si="18"/>
        <v>-1.234567901234568E-2</v>
      </c>
      <c r="AF65" s="57"/>
    </row>
    <row r="66" spans="1:33" x14ac:dyDescent="0.2">
      <c r="A66" s="59" t="s">
        <v>673</v>
      </c>
      <c r="B66" s="60" t="s">
        <v>644</v>
      </c>
      <c r="C66" s="84">
        <v>800</v>
      </c>
      <c r="D66" s="80"/>
      <c r="E66" s="79">
        <v>2000</v>
      </c>
      <c r="F66" s="80"/>
      <c r="G66" s="79">
        <v>1700</v>
      </c>
      <c r="H66" s="79"/>
      <c r="I66" s="79">
        <v>2000</v>
      </c>
      <c r="J66" s="79"/>
      <c r="K66" s="79">
        <v>2000</v>
      </c>
      <c r="L66" s="79"/>
      <c r="M66" s="79">
        <v>8200</v>
      </c>
      <c r="N66" s="79"/>
      <c r="O66" s="79">
        <f t="shared" si="14"/>
        <v>0</v>
      </c>
      <c r="P66" s="79"/>
      <c r="Q66" s="79">
        <f t="shared" si="15"/>
        <v>8200</v>
      </c>
      <c r="R66" s="79"/>
      <c r="S66" s="79">
        <v>2000</v>
      </c>
      <c r="T66" s="79"/>
      <c r="U66" s="84">
        <v>3000</v>
      </c>
      <c r="V66" s="79"/>
      <c r="W66" s="79">
        <v>3000</v>
      </c>
      <c r="X66" s="79"/>
      <c r="Y66" s="79">
        <f t="shared" si="16"/>
        <v>1000</v>
      </c>
      <c r="Z66" s="62"/>
      <c r="AA66" s="63">
        <f t="shared" si="19"/>
        <v>0.5</v>
      </c>
      <c r="AB66" s="62"/>
      <c r="AC66" s="79">
        <f t="shared" si="17"/>
        <v>-5200</v>
      </c>
      <c r="AD66" s="62"/>
      <c r="AE66" s="63">
        <f t="shared" si="18"/>
        <v>-0.63414634146341464</v>
      </c>
      <c r="AF66" s="57"/>
    </row>
    <row r="67" spans="1:33" x14ac:dyDescent="0.2">
      <c r="A67" s="55" t="s">
        <v>674</v>
      </c>
      <c r="B67" s="56" t="s">
        <v>645</v>
      </c>
      <c r="C67" s="86">
        <v>0</v>
      </c>
      <c r="E67" s="77">
        <v>0</v>
      </c>
      <c r="G67" s="77">
        <v>45494.73</v>
      </c>
      <c r="I67" s="77">
        <v>50000</v>
      </c>
      <c r="K67" s="77">
        <v>50000</v>
      </c>
      <c r="M67" s="77">
        <v>23034.39</v>
      </c>
      <c r="O67" s="77">
        <f t="shared" si="14"/>
        <v>0</v>
      </c>
      <c r="Q67" s="77">
        <f t="shared" si="15"/>
        <v>23034.39</v>
      </c>
      <c r="S67" s="77">
        <v>50000</v>
      </c>
      <c r="U67" s="86">
        <v>50000</v>
      </c>
      <c r="W67" s="77">
        <v>50000</v>
      </c>
      <c r="Y67" s="77">
        <f t="shared" si="16"/>
        <v>0</v>
      </c>
      <c r="Z67" s="57"/>
      <c r="AA67" s="58">
        <f t="shared" si="19"/>
        <v>0</v>
      </c>
      <c r="AB67" s="57"/>
      <c r="AC67" s="77">
        <f t="shared" si="17"/>
        <v>26965.61</v>
      </c>
      <c r="AD67" s="57"/>
      <c r="AE67" s="58">
        <f t="shared" si="18"/>
        <v>1.1706674237954642</v>
      </c>
      <c r="AF67" s="57"/>
    </row>
    <row r="68" spans="1:33" x14ac:dyDescent="0.2">
      <c r="A68" s="59" t="s">
        <v>676</v>
      </c>
      <c r="B68" s="60" t="s">
        <v>646</v>
      </c>
      <c r="C68" s="84">
        <v>0</v>
      </c>
      <c r="D68" s="80"/>
      <c r="E68" s="79">
        <v>0</v>
      </c>
      <c r="F68" s="80"/>
      <c r="G68" s="79">
        <v>0</v>
      </c>
      <c r="H68" s="79"/>
      <c r="I68" s="79">
        <v>0</v>
      </c>
      <c r="J68" s="79"/>
      <c r="K68" s="79">
        <v>24000</v>
      </c>
      <c r="L68" s="79"/>
      <c r="M68" s="79">
        <v>75050</v>
      </c>
      <c r="N68" s="79"/>
      <c r="O68" s="79">
        <f t="shared" si="14"/>
        <v>0</v>
      </c>
      <c r="P68" s="79"/>
      <c r="Q68" s="79">
        <f t="shared" si="15"/>
        <v>75050</v>
      </c>
      <c r="R68" s="79"/>
      <c r="S68" s="79">
        <v>30000</v>
      </c>
      <c r="T68" s="79"/>
      <c r="U68" s="84">
        <v>60000</v>
      </c>
      <c r="V68" s="79"/>
      <c r="W68" s="79">
        <v>60000</v>
      </c>
      <c r="X68" s="79"/>
      <c r="Y68" s="79">
        <f t="shared" si="16"/>
        <v>60000</v>
      </c>
      <c r="Z68" s="62"/>
      <c r="AA68" s="63" t="e">
        <f t="shared" si="19"/>
        <v>#DIV/0!</v>
      </c>
      <c r="AB68" s="62"/>
      <c r="AC68" s="79">
        <f t="shared" si="17"/>
        <v>-15050</v>
      </c>
      <c r="AD68" s="62"/>
      <c r="AE68" s="63">
        <f t="shared" si="18"/>
        <v>-0.20053297801465689</v>
      </c>
      <c r="AF68" s="57"/>
    </row>
    <row r="69" spans="1:33" x14ac:dyDescent="0.2">
      <c r="A69" s="64" t="s">
        <v>1339</v>
      </c>
      <c r="C69" s="81">
        <f>SUM(C59:C68)</f>
        <v>382938.02</v>
      </c>
      <c r="E69" s="81">
        <f>SUM(E59:E68)</f>
        <v>486239.19999999995</v>
      </c>
      <c r="F69" s="77"/>
      <c r="G69" s="81">
        <f>SUM(G59:G68)</f>
        <v>648599.8899999999</v>
      </c>
      <c r="I69" s="81">
        <f>SUM(I59:I68)</f>
        <v>691250</v>
      </c>
      <c r="K69" s="81">
        <f>SUM(K59:K68)</f>
        <v>715250</v>
      </c>
      <c r="M69" s="81">
        <f>SUM(M59:M68)</f>
        <v>1132031.47</v>
      </c>
      <c r="O69" s="81">
        <f>SUM(O59:O68)</f>
        <v>0</v>
      </c>
      <c r="Q69" s="81">
        <f>SUM(Q59:Q68)</f>
        <v>1132031.47</v>
      </c>
      <c r="S69" s="81">
        <f>SUM(S59:S68)</f>
        <v>822000</v>
      </c>
      <c r="U69" s="81">
        <f>SUM(U59:U68)</f>
        <v>724500</v>
      </c>
      <c r="W69" s="81">
        <f>SUM(W59:W68)</f>
        <v>728000</v>
      </c>
      <c r="Y69" s="81">
        <f>SUM(Y59:Y68)</f>
        <v>36750</v>
      </c>
      <c r="Z69" s="57"/>
      <c r="AA69" s="65">
        <f t="shared" si="19"/>
        <v>5.3164556962025315E-2</v>
      </c>
      <c r="AB69" s="57"/>
      <c r="AC69" s="81">
        <f>SUM(AC59:AC68)</f>
        <v>-404031.47000000003</v>
      </c>
      <c r="AD69" s="57"/>
      <c r="AE69" s="65">
        <f t="shared" si="18"/>
        <v>-0.35690833753941492</v>
      </c>
      <c r="AF69" s="57"/>
    </row>
    <row r="70" spans="1:33" x14ac:dyDescent="0.2">
      <c r="Z70" s="57"/>
      <c r="AB70" s="57"/>
      <c r="AD70" s="57"/>
      <c r="AF70" s="57"/>
    </row>
    <row r="71" spans="1:33" x14ac:dyDescent="0.2">
      <c r="A71" s="54" t="s">
        <v>1340</v>
      </c>
      <c r="Z71" s="57"/>
      <c r="AB71" s="57"/>
      <c r="AD71" s="57"/>
      <c r="AF71" s="57"/>
    </row>
    <row r="72" spans="1:33" x14ac:dyDescent="0.2">
      <c r="A72" s="59" t="s">
        <v>702</v>
      </c>
      <c r="B72" s="60" t="s">
        <v>472</v>
      </c>
      <c r="C72" s="84">
        <v>203891.36</v>
      </c>
      <c r="D72" s="80"/>
      <c r="E72" s="79">
        <v>271414.3</v>
      </c>
      <c r="F72" s="80"/>
      <c r="G72" s="79">
        <v>350590.15</v>
      </c>
      <c r="H72" s="79"/>
      <c r="I72" s="79">
        <v>287200</v>
      </c>
      <c r="J72" s="79"/>
      <c r="K72" s="79">
        <v>368750</v>
      </c>
      <c r="L72" s="79"/>
      <c r="M72" s="79">
        <v>328430.87</v>
      </c>
      <c r="N72" s="79"/>
      <c r="O72" s="79">
        <f>PRODUCT(M72,0/12)</f>
        <v>0</v>
      </c>
      <c r="P72" s="79"/>
      <c r="Q72" s="79">
        <f t="shared" ref="Q72:Q80" si="20">SUM(M72,O72)</f>
        <v>328430.87</v>
      </c>
      <c r="R72" s="79"/>
      <c r="S72" s="79">
        <v>375000</v>
      </c>
      <c r="T72" s="79"/>
      <c r="U72" s="79">
        <v>375000</v>
      </c>
      <c r="V72" s="79"/>
      <c r="W72" s="79">
        <v>375000</v>
      </c>
      <c r="X72" s="79"/>
      <c r="Y72" s="79">
        <f t="shared" ref="Y72:Y80" si="21">SUM(W72,-I72)</f>
        <v>87800</v>
      </c>
      <c r="Z72" s="62"/>
      <c r="AA72" s="63">
        <f t="shared" ref="AA72:AA81" si="22">IF(W72=0,"N/A",PRODUCT(Y72,1/I72))</f>
        <v>0.30571030640668523</v>
      </c>
      <c r="AB72" s="62"/>
      <c r="AC72" s="79">
        <f t="shared" ref="AC72:AC80" si="23">SUM(W72,-Q72)</f>
        <v>46569.130000000005</v>
      </c>
      <c r="AD72" s="62"/>
      <c r="AE72" s="63">
        <f t="shared" ref="AE72:AE81" si="24">IF(W72=0,"N/A",PRODUCT(AC72,1/Q72))</f>
        <v>0.14179279188950786</v>
      </c>
      <c r="AF72" s="57"/>
      <c r="AG72" s="56" t="s">
        <v>1076</v>
      </c>
    </row>
    <row r="73" spans="1:33" x14ac:dyDescent="0.2">
      <c r="A73" s="55" t="s">
        <v>703</v>
      </c>
      <c r="B73" s="56" t="s">
        <v>252</v>
      </c>
      <c r="C73" s="86">
        <v>0</v>
      </c>
      <c r="E73" s="77">
        <v>3950</v>
      </c>
      <c r="G73" s="77">
        <v>1255.8699999999999</v>
      </c>
      <c r="I73" s="77">
        <v>0</v>
      </c>
      <c r="K73" s="77">
        <v>0</v>
      </c>
      <c r="M73" s="77">
        <v>8300</v>
      </c>
      <c r="O73" s="77">
        <f>PRODUCT(M73,0/12)</f>
        <v>0</v>
      </c>
      <c r="Q73" s="77">
        <f t="shared" si="20"/>
        <v>8300</v>
      </c>
      <c r="S73" s="77">
        <v>1500</v>
      </c>
      <c r="U73" s="77">
        <v>1500</v>
      </c>
      <c r="W73" s="77">
        <v>0</v>
      </c>
      <c r="Y73" s="77">
        <f t="shared" si="21"/>
        <v>0</v>
      </c>
      <c r="Z73" s="57"/>
      <c r="AA73" s="58" t="str">
        <f t="shared" si="22"/>
        <v>N/A</v>
      </c>
      <c r="AB73" s="57"/>
      <c r="AC73" s="77">
        <f t="shared" si="23"/>
        <v>-8300</v>
      </c>
      <c r="AD73" s="57"/>
      <c r="AE73" s="58" t="str">
        <f t="shared" si="24"/>
        <v>N/A</v>
      </c>
      <c r="AF73" s="57"/>
    </row>
    <row r="74" spans="1:33" x14ac:dyDescent="0.2">
      <c r="A74" s="59" t="s">
        <v>704</v>
      </c>
      <c r="B74" s="60" t="s">
        <v>256</v>
      </c>
      <c r="C74" s="84">
        <v>0</v>
      </c>
      <c r="D74" s="80"/>
      <c r="E74" s="79">
        <v>749.48</v>
      </c>
      <c r="F74" s="80"/>
      <c r="G74" s="79">
        <v>0</v>
      </c>
      <c r="H74" s="79"/>
      <c r="I74" s="79">
        <v>0</v>
      </c>
      <c r="J74" s="79"/>
      <c r="K74" s="79">
        <v>0</v>
      </c>
      <c r="L74" s="79"/>
      <c r="M74" s="79">
        <v>0</v>
      </c>
      <c r="N74" s="79"/>
      <c r="O74" s="79">
        <v>0</v>
      </c>
      <c r="P74" s="79"/>
      <c r="Q74" s="79">
        <f t="shared" si="20"/>
        <v>0</v>
      </c>
      <c r="R74" s="79"/>
      <c r="S74" s="79">
        <v>0</v>
      </c>
      <c r="T74" s="79"/>
      <c r="U74" s="79">
        <v>0</v>
      </c>
      <c r="V74" s="79"/>
      <c r="W74" s="79">
        <v>0</v>
      </c>
      <c r="X74" s="79"/>
      <c r="Y74" s="79">
        <f t="shared" si="21"/>
        <v>0</v>
      </c>
      <c r="Z74" s="62"/>
      <c r="AA74" s="63" t="str">
        <f t="shared" si="22"/>
        <v>N/A</v>
      </c>
      <c r="AB74" s="62"/>
      <c r="AC74" s="79">
        <f t="shared" si="23"/>
        <v>0</v>
      </c>
      <c r="AD74" s="62"/>
      <c r="AE74" s="63" t="str">
        <f t="shared" si="24"/>
        <v>N/A</v>
      </c>
      <c r="AF74" s="57"/>
    </row>
    <row r="75" spans="1:33" x14ac:dyDescent="0.2">
      <c r="A75" s="55" t="s">
        <v>705</v>
      </c>
      <c r="B75" s="56" t="s">
        <v>652</v>
      </c>
      <c r="C75" s="86">
        <v>5217.25</v>
      </c>
      <c r="E75" s="77">
        <v>5279.86</v>
      </c>
      <c r="G75" s="77">
        <v>5607.21</v>
      </c>
      <c r="I75" s="77">
        <v>5850</v>
      </c>
      <c r="K75" s="77">
        <v>5850</v>
      </c>
      <c r="M75" s="77">
        <v>5971.68</v>
      </c>
      <c r="O75" s="77">
        <v>0</v>
      </c>
      <c r="Q75" s="77">
        <f t="shared" si="20"/>
        <v>5971.68</v>
      </c>
      <c r="S75" s="77">
        <v>5900</v>
      </c>
      <c r="U75" s="77">
        <v>5900</v>
      </c>
      <c r="W75" s="77">
        <v>5900</v>
      </c>
      <c r="Y75" s="77">
        <f t="shared" si="21"/>
        <v>50</v>
      </c>
      <c r="Z75" s="57"/>
      <c r="AA75" s="58">
        <f t="shared" si="22"/>
        <v>8.5470085470085479E-3</v>
      </c>
      <c r="AB75" s="57"/>
      <c r="AC75" s="77">
        <f t="shared" si="23"/>
        <v>-71.680000000000291</v>
      </c>
      <c r="AD75" s="57"/>
      <c r="AE75" s="58">
        <f t="shared" si="24"/>
        <v>-1.2003322348149981E-2</v>
      </c>
      <c r="AF75" s="57"/>
    </row>
    <row r="76" spans="1:33" x14ac:dyDescent="0.2">
      <c r="A76" s="59" t="s">
        <v>706</v>
      </c>
      <c r="B76" s="60" t="s">
        <v>653</v>
      </c>
      <c r="C76" s="84">
        <v>4179.37</v>
      </c>
      <c r="D76" s="80"/>
      <c r="E76" s="79">
        <v>4237.88</v>
      </c>
      <c r="F76" s="80"/>
      <c r="G76" s="79">
        <v>4534.54</v>
      </c>
      <c r="H76" s="79"/>
      <c r="I76" s="79">
        <v>4750</v>
      </c>
      <c r="J76" s="79"/>
      <c r="K76" s="79">
        <v>4750</v>
      </c>
      <c r="L76" s="79"/>
      <c r="M76" s="79">
        <v>4829.28</v>
      </c>
      <c r="N76" s="79"/>
      <c r="O76" s="79">
        <v>0</v>
      </c>
      <c r="P76" s="79"/>
      <c r="Q76" s="79">
        <f t="shared" si="20"/>
        <v>4829.28</v>
      </c>
      <c r="R76" s="79"/>
      <c r="S76" s="79">
        <v>4800</v>
      </c>
      <c r="T76" s="79"/>
      <c r="U76" s="79">
        <v>4800</v>
      </c>
      <c r="V76" s="79"/>
      <c r="W76" s="79">
        <v>5000</v>
      </c>
      <c r="X76" s="79"/>
      <c r="Y76" s="79">
        <f t="shared" si="21"/>
        <v>250</v>
      </c>
      <c r="Z76" s="62"/>
      <c r="AA76" s="63">
        <f t="shared" si="22"/>
        <v>5.2631578947368425E-2</v>
      </c>
      <c r="AB76" s="62"/>
      <c r="AC76" s="79">
        <f t="shared" si="23"/>
        <v>170.72000000000025</v>
      </c>
      <c r="AD76" s="62"/>
      <c r="AE76" s="63">
        <f t="shared" si="24"/>
        <v>3.5351025411655621E-2</v>
      </c>
      <c r="AF76" s="57"/>
    </row>
    <row r="77" spans="1:33" x14ac:dyDescent="0.2">
      <c r="A77" s="55" t="s">
        <v>707</v>
      </c>
      <c r="B77" s="56" t="s">
        <v>654</v>
      </c>
      <c r="C77" s="86">
        <v>6515.32</v>
      </c>
      <c r="E77" s="77">
        <v>6606.53</v>
      </c>
      <c r="G77" s="77">
        <v>7068.99</v>
      </c>
      <c r="I77" s="77">
        <v>7350</v>
      </c>
      <c r="K77" s="77">
        <v>7350</v>
      </c>
      <c r="M77" s="77">
        <v>7528.47</v>
      </c>
      <c r="O77" s="77">
        <v>0</v>
      </c>
      <c r="Q77" s="77">
        <f t="shared" si="20"/>
        <v>7528.47</v>
      </c>
      <c r="S77" s="77">
        <v>7500</v>
      </c>
      <c r="U77" s="77">
        <v>7500</v>
      </c>
      <c r="W77" s="77">
        <v>7500</v>
      </c>
      <c r="Y77" s="77">
        <f t="shared" si="21"/>
        <v>150</v>
      </c>
      <c r="Z77" s="57"/>
      <c r="AA77" s="58">
        <f t="shared" si="22"/>
        <v>2.0408163265306121E-2</v>
      </c>
      <c r="AB77" s="57"/>
      <c r="AC77" s="77">
        <f t="shared" si="23"/>
        <v>-28.470000000000255</v>
      </c>
      <c r="AD77" s="57"/>
      <c r="AE77" s="58">
        <f t="shared" si="24"/>
        <v>-3.7816448760505461E-3</v>
      </c>
      <c r="AF77" s="57"/>
    </row>
    <row r="78" spans="1:33" x14ac:dyDescent="0.2">
      <c r="A78" s="59" t="s">
        <v>708</v>
      </c>
      <c r="B78" s="60" t="s">
        <v>655</v>
      </c>
      <c r="C78" s="84">
        <v>1172.6600000000001</v>
      </c>
      <c r="D78" s="80"/>
      <c r="E78" s="79">
        <v>1189.08</v>
      </c>
      <c r="F78" s="80"/>
      <c r="G78" s="79">
        <v>1272.32</v>
      </c>
      <c r="H78" s="79"/>
      <c r="I78" s="79">
        <v>1300</v>
      </c>
      <c r="J78" s="79"/>
      <c r="K78" s="79">
        <v>1300</v>
      </c>
      <c r="L78" s="79"/>
      <c r="M78" s="79">
        <v>0</v>
      </c>
      <c r="N78" s="79"/>
      <c r="O78" s="79">
        <v>0</v>
      </c>
      <c r="P78" s="79"/>
      <c r="Q78" s="79">
        <f t="shared" si="20"/>
        <v>0</v>
      </c>
      <c r="R78" s="79"/>
      <c r="S78" s="79">
        <v>1300</v>
      </c>
      <c r="T78" s="79"/>
      <c r="U78" s="79">
        <v>1300</v>
      </c>
      <c r="V78" s="79"/>
      <c r="W78" s="79">
        <v>1300</v>
      </c>
      <c r="X78" s="79"/>
      <c r="Y78" s="79">
        <f t="shared" si="21"/>
        <v>0</v>
      </c>
      <c r="Z78" s="62"/>
      <c r="AA78" s="63">
        <f t="shared" si="22"/>
        <v>0</v>
      </c>
      <c r="AB78" s="62"/>
      <c r="AC78" s="79">
        <f t="shared" si="23"/>
        <v>1300</v>
      </c>
      <c r="AD78" s="62"/>
      <c r="AE78" s="63" t="e">
        <f t="shared" si="24"/>
        <v>#DIV/0!</v>
      </c>
      <c r="AF78" s="57"/>
    </row>
    <row r="79" spans="1:33" x14ac:dyDescent="0.2">
      <c r="A79" s="55" t="s">
        <v>709</v>
      </c>
      <c r="B79" s="56" t="s">
        <v>656</v>
      </c>
      <c r="C79" s="86">
        <v>486585.23</v>
      </c>
      <c r="E79" s="77">
        <v>555865</v>
      </c>
      <c r="G79" s="77">
        <v>677120.84</v>
      </c>
      <c r="I79" s="77">
        <v>650000</v>
      </c>
      <c r="K79" s="77">
        <v>650000</v>
      </c>
      <c r="M79" s="77">
        <v>618963.47</v>
      </c>
      <c r="O79" s="77">
        <v>0</v>
      </c>
      <c r="Q79" s="77">
        <f t="shared" si="20"/>
        <v>618963.47</v>
      </c>
      <c r="S79" s="77">
        <v>625000</v>
      </c>
      <c r="U79" s="77">
        <v>625000</v>
      </c>
      <c r="W79" s="77">
        <v>700000</v>
      </c>
      <c r="Y79" s="77">
        <f t="shared" si="21"/>
        <v>50000</v>
      </c>
      <c r="Z79" s="57"/>
      <c r="AA79" s="58">
        <f t="shared" si="22"/>
        <v>7.6923076923076927E-2</v>
      </c>
      <c r="AB79" s="57"/>
      <c r="AC79" s="77">
        <f t="shared" si="23"/>
        <v>81036.530000000028</v>
      </c>
      <c r="AD79" s="57"/>
      <c r="AE79" s="58">
        <f t="shared" si="24"/>
        <v>0.1309229606070291</v>
      </c>
      <c r="AF79" s="57"/>
    </row>
    <row r="80" spans="1:33" x14ac:dyDescent="0.2">
      <c r="A80" s="59" t="s">
        <v>710</v>
      </c>
      <c r="B80" s="60" t="s">
        <v>281</v>
      </c>
      <c r="C80" s="84">
        <v>10000</v>
      </c>
      <c r="D80" s="80"/>
      <c r="E80" s="79">
        <v>0</v>
      </c>
      <c r="F80" s="80"/>
      <c r="G80" s="79">
        <v>0</v>
      </c>
      <c r="H80" s="79"/>
      <c r="I80" s="79">
        <v>0</v>
      </c>
      <c r="J80" s="79"/>
      <c r="K80" s="79">
        <v>0</v>
      </c>
      <c r="L80" s="79"/>
      <c r="M80" s="79">
        <v>0</v>
      </c>
      <c r="N80" s="79"/>
      <c r="O80" s="79">
        <f>PRODUCT(M80,0/12)</f>
        <v>0</v>
      </c>
      <c r="P80" s="79"/>
      <c r="Q80" s="79">
        <f t="shared" si="20"/>
        <v>0</v>
      </c>
      <c r="R80" s="79"/>
      <c r="S80" s="79">
        <v>0</v>
      </c>
      <c r="T80" s="79"/>
      <c r="U80" s="79">
        <v>0</v>
      </c>
      <c r="V80" s="79"/>
      <c r="W80" s="79">
        <v>0</v>
      </c>
      <c r="X80" s="79"/>
      <c r="Y80" s="79">
        <f t="shared" si="21"/>
        <v>0</v>
      </c>
      <c r="Z80" s="62"/>
      <c r="AA80" s="63" t="str">
        <f t="shared" si="22"/>
        <v>N/A</v>
      </c>
      <c r="AB80" s="62"/>
      <c r="AC80" s="79">
        <f t="shared" si="23"/>
        <v>0</v>
      </c>
      <c r="AD80" s="62"/>
      <c r="AE80" s="63" t="str">
        <f t="shared" si="24"/>
        <v>N/A</v>
      </c>
      <c r="AF80" s="57"/>
    </row>
    <row r="81" spans="1:32" x14ac:dyDescent="0.2">
      <c r="A81" s="64" t="s">
        <v>1341</v>
      </c>
      <c r="C81" s="81">
        <f>SUM(C72:C80)</f>
        <v>717561.19</v>
      </c>
      <c r="E81" s="81">
        <f>SUM(E72:E80)</f>
        <v>849292.13</v>
      </c>
      <c r="F81" s="77"/>
      <c r="G81" s="81">
        <f>SUM(G72:G80)</f>
        <v>1047449.9199999999</v>
      </c>
      <c r="I81" s="81">
        <f>SUM(I72:I80)</f>
        <v>956450</v>
      </c>
      <c r="K81" s="81">
        <f>SUM(K72:K80)</f>
        <v>1038000</v>
      </c>
      <c r="M81" s="81">
        <f>SUM(M72:M80)</f>
        <v>974023.77</v>
      </c>
      <c r="O81" s="81">
        <f>SUM(O72:O80)</f>
        <v>0</v>
      </c>
      <c r="Q81" s="81">
        <f>SUM(Q72:Q80)</f>
        <v>974023.77</v>
      </c>
      <c r="S81" s="81">
        <f>SUM(S72:S80)</f>
        <v>1021000</v>
      </c>
      <c r="U81" s="81">
        <f>SUM(U72:U80)</f>
        <v>1021000</v>
      </c>
      <c r="W81" s="81">
        <f>SUM(W72:W80)</f>
        <v>1094700</v>
      </c>
      <c r="Y81" s="81">
        <f>SUM(Y72:Y80)</f>
        <v>138250</v>
      </c>
      <c r="Z81" s="57"/>
      <c r="AA81" s="65">
        <f t="shared" si="22"/>
        <v>0.14454493177897432</v>
      </c>
      <c r="AB81" s="57"/>
      <c r="AC81" s="81">
        <f>SUM(AC72:AC80)</f>
        <v>120676.23000000004</v>
      </c>
      <c r="AD81" s="57"/>
      <c r="AE81" s="65">
        <f t="shared" si="24"/>
        <v>0.12389454314857228</v>
      </c>
      <c r="AF81" s="57"/>
    </row>
    <row r="82" spans="1:32" x14ac:dyDescent="0.2">
      <c r="Z82" s="57"/>
      <c r="AB82" s="57"/>
      <c r="AD82" s="57"/>
      <c r="AF82" s="57"/>
    </row>
    <row r="83" spans="1:32" x14ac:dyDescent="0.2">
      <c r="A83" s="54" t="s">
        <v>1342</v>
      </c>
      <c r="Z83" s="57"/>
      <c r="AB83" s="57"/>
      <c r="AD83" s="57"/>
      <c r="AF83" s="57"/>
    </row>
    <row r="84" spans="1:32" x14ac:dyDescent="0.2">
      <c r="A84" s="55" t="s">
        <v>740</v>
      </c>
      <c r="B84" s="56" t="s">
        <v>741</v>
      </c>
      <c r="C84" s="86">
        <v>519344.55</v>
      </c>
      <c r="E84" s="77">
        <v>447728.03</v>
      </c>
      <c r="G84" s="77">
        <v>522035.16</v>
      </c>
      <c r="I84" s="77">
        <v>560000</v>
      </c>
      <c r="K84" s="77">
        <v>560000</v>
      </c>
      <c r="M84" s="77">
        <v>539681.30000000005</v>
      </c>
      <c r="O84" s="77">
        <f>PRODUCT(M84,0/12)</f>
        <v>0</v>
      </c>
      <c r="Q84" s="77">
        <f>SUM(M84,O84)</f>
        <v>539681.30000000005</v>
      </c>
      <c r="S84" s="77">
        <v>525000</v>
      </c>
      <c r="U84" s="77">
        <v>525000</v>
      </c>
      <c r="W84" s="77">
        <v>535000</v>
      </c>
      <c r="Y84" s="77">
        <f>SUM(W84,-I84)</f>
        <v>-25000</v>
      </c>
      <c r="Z84" s="57"/>
      <c r="AA84" s="58">
        <f>IF(W84=0,"N/A",PRODUCT(Y84,1/I84))</f>
        <v>-4.4642857142857144E-2</v>
      </c>
      <c r="AB84" s="57"/>
      <c r="AC84" s="77">
        <f>SUM(W84,-Q84)</f>
        <v>-4681.3000000000466</v>
      </c>
      <c r="AD84" s="57"/>
      <c r="AE84" s="58">
        <f>IF(W84=0,"N/A",PRODUCT(AC84,1/Q84))</f>
        <v>-8.6741934545444613E-3</v>
      </c>
      <c r="AF84" s="57"/>
    </row>
    <row r="85" spans="1:32" x14ac:dyDescent="0.2">
      <c r="A85" s="59" t="s">
        <v>742</v>
      </c>
      <c r="B85" s="60" t="s">
        <v>743</v>
      </c>
      <c r="C85" s="84">
        <v>2385</v>
      </c>
      <c r="D85" s="80"/>
      <c r="E85" s="79">
        <v>7900</v>
      </c>
      <c r="F85" s="80"/>
      <c r="G85" s="79">
        <v>0</v>
      </c>
      <c r="H85" s="79"/>
      <c r="I85" s="79">
        <v>10000</v>
      </c>
      <c r="J85" s="79"/>
      <c r="K85" s="79">
        <v>10000</v>
      </c>
      <c r="L85" s="79"/>
      <c r="M85" s="79">
        <v>0</v>
      </c>
      <c r="N85" s="79"/>
      <c r="O85" s="79">
        <f>PRODUCT(M85,0/12)</f>
        <v>0</v>
      </c>
      <c r="P85" s="79"/>
      <c r="Q85" s="79">
        <f>SUM(M85,O85)</f>
        <v>0</v>
      </c>
      <c r="R85" s="79"/>
      <c r="S85" s="79">
        <v>5000</v>
      </c>
      <c r="T85" s="79"/>
      <c r="U85" s="79">
        <v>5000</v>
      </c>
      <c r="V85" s="79"/>
      <c r="W85" s="79">
        <v>10000</v>
      </c>
      <c r="X85" s="79"/>
      <c r="Y85" s="79">
        <f>SUM(W85,-I85)</f>
        <v>0</v>
      </c>
      <c r="Z85" s="62"/>
      <c r="AA85" s="63">
        <f>IF(W85=0,"N/A",PRODUCT(Y85,1/I85))</f>
        <v>0</v>
      </c>
      <c r="AB85" s="62"/>
      <c r="AC85" s="79">
        <f>SUM(W85,-Q85)</f>
        <v>10000</v>
      </c>
      <c r="AD85" s="62"/>
      <c r="AE85" s="63" t="e">
        <f>IF(W85=0,"N/A",PRODUCT(AC85,1/Q85))</f>
        <v>#DIV/0!</v>
      </c>
      <c r="AF85" s="57"/>
    </row>
    <row r="86" spans="1:32" x14ac:dyDescent="0.2">
      <c r="A86" s="64" t="s">
        <v>1343</v>
      </c>
      <c r="C86" s="81">
        <f>SUM(C84:C85)</f>
        <v>521729.55</v>
      </c>
      <c r="E86" s="81">
        <f>SUM(E84:E85)</f>
        <v>455628.03</v>
      </c>
      <c r="F86" s="77"/>
      <c r="G86" s="81">
        <f>SUM(G84:G85)</f>
        <v>522035.16</v>
      </c>
      <c r="I86" s="81">
        <f>SUM(I84:I85)</f>
        <v>570000</v>
      </c>
      <c r="K86" s="81">
        <f>SUM(K84:K85)</f>
        <v>570000</v>
      </c>
      <c r="M86" s="81">
        <f>SUM(M84:M85)</f>
        <v>539681.30000000005</v>
      </c>
      <c r="O86" s="81">
        <f>SUM(O84:O85)</f>
        <v>0</v>
      </c>
      <c r="Q86" s="81">
        <f>SUM(Q84:Q85)</f>
        <v>539681.30000000005</v>
      </c>
      <c r="S86" s="81">
        <f>SUM(S84:S85)</f>
        <v>530000</v>
      </c>
      <c r="U86" s="81">
        <f>SUM(U84:U85)</f>
        <v>530000</v>
      </c>
      <c r="W86" s="81">
        <f>SUM(W84:W85)</f>
        <v>545000</v>
      </c>
      <c r="Y86" s="81">
        <f>SUM(Y84:Y85)</f>
        <v>-25000</v>
      </c>
      <c r="Z86" s="57"/>
      <c r="AA86" s="65">
        <f>IF(W86=0,"N/A",PRODUCT(Y86,1/I86))</f>
        <v>-4.3859649122807015E-2</v>
      </c>
      <c r="AB86" s="57"/>
      <c r="AC86" s="81">
        <f>SUM(AC84:AC85)</f>
        <v>5318.6999999999534</v>
      </c>
      <c r="AD86" s="57"/>
      <c r="AE86" s="65">
        <f>IF(W86=0,"N/A",PRODUCT(AC86,1/Q86))</f>
        <v>9.8552608734079773E-3</v>
      </c>
      <c r="AF86" s="57"/>
    </row>
    <row r="87" spans="1:32" x14ac:dyDescent="0.2">
      <c r="Z87" s="57"/>
      <c r="AB87" s="57"/>
      <c r="AD87" s="57"/>
      <c r="AF87" s="57"/>
    </row>
    <row r="88" spans="1:32" x14ac:dyDescent="0.2">
      <c r="A88" s="54" t="s">
        <v>1344</v>
      </c>
      <c r="Z88" s="57"/>
      <c r="AB88" s="57"/>
      <c r="AD88" s="57"/>
      <c r="AF88" s="57"/>
    </row>
    <row r="89" spans="1:32" x14ac:dyDescent="0.2">
      <c r="A89" s="59" t="s">
        <v>754</v>
      </c>
      <c r="B89" s="60" t="s">
        <v>613</v>
      </c>
      <c r="C89" s="84">
        <v>43299.94</v>
      </c>
      <c r="D89" s="80"/>
      <c r="E89" s="79">
        <v>3722.36</v>
      </c>
      <c r="F89" s="80"/>
      <c r="G89" s="79">
        <v>61974.78</v>
      </c>
      <c r="H89" s="79"/>
      <c r="I89" s="79">
        <v>15000</v>
      </c>
      <c r="J89" s="79"/>
      <c r="K89" s="79">
        <v>475000</v>
      </c>
      <c r="L89" s="79"/>
      <c r="M89" s="79">
        <v>546977.04</v>
      </c>
      <c r="N89" s="79"/>
      <c r="O89" s="79">
        <f>PRODUCT(M89,0/12)</f>
        <v>0</v>
      </c>
      <c r="P89" s="79"/>
      <c r="Q89" s="79">
        <f>SUM(M89,O89)</f>
        <v>546977.04</v>
      </c>
      <c r="R89" s="79"/>
      <c r="S89" s="79">
        <v>100000</v>
      </c>
      <c r="T89" s="79"/>
      <c r="U89" s="79">
        <v>100000</v>
      </c>
      <c r="V89" s="79"/>
      <c r="W89" s="79">
        <v>100000</v>
      </c>
      <c r="X89" s="79"/>
      <c r="Y89" s="79">
        <f>SUM(W89,-I89)</f>
        <v>85000</v>
      </c>
      <c r="Z89" s="62"/>
      <c r="AA89" s="63">
        <f>IF(W89=0,"N/A",PRODUCT(Y89,1/I89))</f>
        <v>5.666666666666667</v>
      </c>
      <c r="AB89" s="62"/>
      <c r="AC89" s="79">
        <f>SUM(W89,-Q89)</f>
        <v>-446977.04000000004</v>
      </c>
      <c r="AD89" s="62"/>
      <c r="AE89" s="63">
        <f>IF(W89=0,"N/A",PRODUCT(AC89,1/Q89))</f>
        <v>-0.81717696962197905</v>
      </c>
      <c r="AF89" s="57"/>
    </row>
    <row r="90" spans="1:32" x14ac:dyDescent="0.2">
      <c r="A90" s="64" t="s">
        <v>1345</v>
      </c>
      <c r="C90" s="81">
        <f>SUM(C89:C89)</f>
        <v>43299.94</v>
      </c>
      <c r="E90" s="81">
        <f>SUM(E89:E89)</f>
        <v>3722.36</v>
      </c>
      <c r="G90" s="81">
        <f>SUM(G89:G89)</f>
        <v>61974.78</v>
      </c>
      <c r="I90" s="81">
        <f>SUM(I89:I89)</f>
        <v>15000</v>
      </c>
      <c r="K90" s="81">
        <f>SUM(K89:K89)</f>
        <v>475000</v>
      </c>
      <c r="M90" s="81">
        <f>SUM(M89:M89)</f>
        <v>546977.04</v>
      </c>
      <c r="O90" s="81">
        <f>SUM(O89:O89)</f>
        <v>0</v>
      </c>
      <c r="Q90" s="81">
        <f>SUM(Q89:Q89)</f>
        <v>546977.04</v>
      </c>
      <c r="S90" s="81">
        <f>SUM(S89:S89)</f>
        <v>100000</v>
      </c>
      <c r="U90" s="81">
        <f>SUM(U89:U89)</f>
        <v>100000</v>
      </c>
      <c r="W90" s="81">
        <f>SUM(W89:W89)</f>
        <v>100000</v>
      </c>
      <c r="Y90" s="81">
        <f>SUM(Y89:Y89)</f>
        <v>85000</v>
      </c>
      <c r="Z90" s="57"/>
      <c r="AA90" s="65">
        <f>IF(W90=0,"N/A",PRODUCT(Y90,1/I90))</f>
        <v>5.666666666666667</v>
      </c>
      <c r="AB90" s="57"/>
      <c r="AC90" s="81">
        <f>SUM(AC89:AC89)</f>
        <v>-446977.04000000004</v>
      </c>
      <c r="AD90" s="57"/>
      <c r="AE90" s="65">
        <f>IF(W90=0,"N/A",PRODUCT(AC90,1/Q90))</f>
        <v>-0.81717696962197905</v>
      </c>
      <c r="AF90" s="57"/>
    </row>
    <row r="91" spans="1:32" x14ac:dyDescent="0.2">
      <c r="Z91" s="57"/>
      <c r="AB91" s="57"/>
      <c r="AD91" s="57"/>
      <c r="AF91" s="57"/>
    </row>
    <row r="92" spans="1:32" x14ac:dyDescent="0.2">
      <c r="A92" s="54" t="s">
        <v>1346</v>
      </c>
      <c r="Z92" s="57"/>
      <c r="AB92" s="57"/>
      <c r="AD92" s="57"/>
      <c r="AF92" s="57"/>
    </row>
    <row r="93" spans="1:32" x14ac:dyDescent="0.2">
      <c r="A93" s="59" t="s">
        <v>1325</v>
      </c>
      <c r="B93" s="60" t="s">
        <v>1131</v>
      </c>
      <c r="C93" s="84">
        <v>0</v>
      </c>
      <c r="D93" s="80"/>
      <c r="E93" s="79">
        <v>0</v>
      </c>
      <c r="F93" s="80"/>
      <c r="G93" s="79">
        <v>0</v>
      </c>
      <c r="H93" s="79"/>
      <c r="I93" s="79">
        <v>0</v>
      </c>
      <c r="J93" s="79"/>
      <c r="K93" s="79">
        <v>0</v>
      </c>
      <c r="L93" s="79"/>
      <c r="M93" s="79">
        <v>0</v>
      </c>
      <c r="N93" s="79"/>
      <c r="O93" s="79">
        <f>PRODUCT(M93,0/12)</f>
        <v>0</v>
      </c>
      <c r="P93" s="79"/>
      <c r="Q93" s="79">
        <f>SUM(M93,O93)</f>
        <v>0</v>
      </c>
      <c r="R93" s="79"/>
      <c r="S93" s="79">
        <v>600000</v>
      </c>
      <c r="T93" s="79"/>
      <c r="U93" s="79">
        <v>600000</v>
      </c>
      <c r="V93" s="79"/>
      <c r="W93" s="79">
        <v>600000</v>
      </c>
      <c r="X93" s="79"/>
      <c r="Y93" s="79">
        <f>SUM(W93,-I93)</f>
        <v>600000</v>
      </c>
      <c r="Z93" s="62"/>
      <c r="AA93" s="63" t="e">
        <f>IF(W93=0,"N/A",PRODUCT(Y93,1/I93))</f>
        <v>#DIV/0!</v>
      </c>
      <c r="AB93" s="62"/>
      <c r="AC93" s="79">
        <f>SUM(W93,-Q93)</f>
        <v>600000</v>
      </c>
      <c r="AD93" s="62"/>
      <c r="AE93" s="63" t="e">
        <f>IF(W93=0,"N/A",PRODUCT(AC93,1/Q93))</f>
        <v>#DIV/0!</v>
      </c>
      <c r="AF93" s="57"/>
    </row>
    <row r="94" spans="1:32" x14ac:dyDescent="0.2">
      <c r="A94" s="64" t="s">
        <v>1347</v>
      </c>
      <c r="C94" s="81">
        <f>SUM(C93:C93)</f>
        <v>0</v>
      </c>
      <c r="E94" s="81">
        <f>SUM(E93:E93)</f>
        <v>0</v>
      </c>
      <c r="G94" s="81">
        <f>SUM(G93:G93)</f>
        <v>0</v>
      </c>
      <c r="I94" s="81">
        <f>SUM(I93:I93)</f>
        <v>0</v>
      </c>
      <c r="K94" s="81">
        <f>SUM(K93:K93)</f>
        <v>0</v>
      </c>
      <c r="M94" s="81">
        <f>SUM(M93:M93)</f>
        <v>0</v>
      </c>
      <c r="O94" s="81">
        <f>SUM(O93:O93)</f>
        <v>0</v>
      </c>
      <c r="Q94" s="81">
        <f>SUM(Q93:Q93)</f>
        <v>0</v>
      </c>
      <c r="S94" s="81">
        <f>SUM(S93:S93)</f>
        <v>600000</v>
      </c>
      <c r="U94" s="81">
        <f>SUM(U93:U93)</f>
        <v>600000</v>
      </c>
      <c r="W94" s="81">
        <f>SUM(W93:W93)</f>
        <v>600000</v>
      </c>
      <c r="Y94" s="81">
        <f>SUM(Y93:Y93)</f>
        <v>600000</v>
      </c>
      <c r="Z94" s="57"/>
      <c r="AA94" s="65" t="e">
        <f>IF(W94=0,"N/A",PRODUCT(Y94,1/I94))</f>
        <v>#DIV/0!</v>
      </c>
      <c r="AB94" s="57"/>
      <c r="AC94" s="81">
        <f>SUM(AC93:AC93)</f>
        <v>600000</v>
      </c>
      <c r="AD94" s="57"/>
      <c r="AE94" s="65" t="e">
        <f>IF(W94=0,"N/A",PRODUCT(AC94,1/Q94))</f>
        <v>#DIV/0!</v>
      </c>
      <c r="AF94" s="57"/>
    </row>
    <row r="95" spans="1:32" x14ac:dyDescent="0.2">
      <c r="Z95" s="57"/>
      <c r="AB95" s="57"/>
      <c r="AD95" s="57"/>
      <c r="AF95" s="57"/>
    </row>
    <row r="96" spans="1:32" ht="13.5" thickBot="1" x14ac:dyDescent="0.25">
      <c r="A96" s="67" t="s">
        <v>929</v>
      </c>
      <c r="C96" s="83">
        <f>SUM(C25,C33,C37,C49,C56,C69,C81,C86,C90,C94)</f>
        <v>9590603.8699999992</v>
      </c>
      <c r="E96" s="83">
        <f>SUM(E25,E33,E37,E49,E56,E69,E81,E86,E90,E94)</f>
        <v>10560378.02</v>
      </c>
      <c r="G96" s="83">
        <f>SUM(G25,G33,G37,G49,G56,G69,G81,G86,G90,G94)</f>
        <v>12577709.570000002</v>
      </c>
      <c r="I96" s="83">
        <f>SUM(I25,I33,I37,I49,I56,I69,I81,I86,I90,I94)</f>
        <v>12586400</v>
      </c>
      <c r="K96" s="83">
        <f>SUM(K25,K33,K37,K49,K56,K69,K81,K86,K90,K94)</f>
        <v>13471200</v>
      </c>
      <c r="M96" s="82">
        <f>SUM(M25,M33,M37,M49,M56,M69,M81,M86,M90,M94)</f>
        <v>13620907.900000002</v>
      </c>
      <c r="O96" s="82">
        <f>SUM(O25,O33,O37,O49,O56,O69,O81,O86,O90,O94)</f>
        <v>0</v>
      </c>
      <c r="Q96" s="83">
        <f>SUM(Q25,Q33,Q37,Q49,Q56,Q69,Q81,Q86,Q90,Q94)</f>
        <v>13620907.900000002</v>
      </c>
      <c r="S96" s="82">
        <f>SUM(S25,S33,S37,S49,S56,S69,S81,S86,S90,S94)</f>
        <v>13547050</v>
      </c>
      <c r="U96" s="82">
        <f>SUM(U25,U33,U37,U49,U56,U69,U81,U86,U90,U94)</f>
        <v>13449550</v>
      </c>
      <c r="W96" s="83">
        <f>SUM(W25,W33,W37,W49,W56,W69,W81,W86,W90,W94)</f>
        <v>13804836</v>
      </c>
      <c r="Y96" s="82">
        <f>SUM(Y25,Y33,Y37,Y49,Y56,Y69,Y81,Y86,Y90,Y94)</f>
        <v>1218436</v>
      </c>
      <c r="Z96" s="57"/>
      <c r="AA96" s="125">
        <f>IF(W96=0,"N/A",PRODUCT(Y96,1/I96))</f>
        <v>9.6805758596580443E-2</v>
      </c>
      <c r="AB96" s="57"/>
      <c r="AC96" s="82">
        <f>SUM(AC25,AC33,AC37,AC49,AC56,AC69,AC81,AC86,AC90,AC94)</f>
        <v>183928.09999999986</v>
      </c>
      <c r="AD96" s="57"/>
      <c r="AE96" s="125">
        <f>IF(W96=0,"N/A",PRODUCT(AC96,1/Q96))</f>
        <v>1.3503365660375683E-2</v>
      </c>
      <c r="AF96" s="57"/>
    </row>
    <row r="97" spans="26:32" ht="13.5" thickTop="1" x14ac:dyDescent="0.2">
      <c r="Z97" s="57"/>
      <c r="AB97" s="57"/>
      <c r="AD97" s="57"/>
      <c r="AF97" s="57"/>
    </row>
    <row r="98" spans="26:32" x14ac:dyDescent="0.2">
      <c r="Z98" s="57"/>
      <c r="AB98" s="57"/>
    </row>
    <row r="99" spans="26:32" x14ac:dyDescent="0.2">
      <c r="Z99" s="57"/>
      <c r="AB99" s="57"/>
    </row>
    <row r="100" spans="26:32" x14ac:dyDescent="0.2">
      <c r="Z100" s="57"/>
      <c r="AB100" s="57"/>
    </row>
    <row r="101" spans="26:32" x14ac:dyDescent="0.2">
      <c r="Z101" s="57"/>
      <c r="AB101" s="57"/>
    </row>
    <row r="102" spans="26:32" x14ac:dyDescent="0.2">
      <c r="Z102" s="57"/>
      <c r="AB102" s="57"/>
    </row>
    <row r="103" spans="26:32" x14ac:dyDescent="0.2">
      <c r="Z103" s="57"/>
      <c r="AB103" s="57"/>
    </row>
    <row r="104" spans="26:32" x14ac:dyDescent="0.2">
      <c r="Z104" s="57"/>
      <c r="AB104" s="57"/>
    </row>
    <row r="105" spans="26:32" x14ac:dyDescent="0.2">
      <c r="Z105" s="57"/>
      <c r="AB105" s="57"/>
    </row>
    <row r="106" spans="26:32" x14ac:dyDescent="0.2">
      <c r="Z106" s="57"/>
      <c r="AB106" s="57"/>
    </row>
    <row r="107" spans="26:32" x14ac:dyDescent="0.2">
      <c r="Z107" s="57"/>
      <c r="AB107" s="57"/>
    </row>
    <row r="108" spans="26:32" x14ac:dyDescent="0.2">
      <c r="Z108" s="57"/>
      <c r="AB108" s="57"/>
    </row>
    <row r="109" spans="26:32" x14ac:dyDescent="0.2">
      <c r="Z109" s="57"/>
      <c r="AB109" s="57"/>
    </row>
    <row r="110" spans="26:32" x14ac:dyDescent="0.2">
      <c r="Z110" s="57"/>
      <c r="AB110" s="57"/>
    </row>
    <row r="111" spans="26:32" x14ac:dyDescent="0.2">
      <c r="Z111" s="57"/>
      <c r="AB111" s="57"/>
    </row>
    <row r="112" spans="26:32" x14ac:dyDescent="0.2">
      <c r="Z112" s="57"/>
      <c r="AB112" s="57"/>
    </row>
    <row r="113" spans="26:28" x14ac:dyDescent="0.2">
      <c r="Z113" s="57"/>
      <c r="AB113" s="57"/>
    </row>
    <row r="114" spans="26:28" x14ac:dyDescent="0.2">
      <c r="Z114" s="57"/>
      <c r="AB114" s="57"/>
    </row>
    <row r="115" spans="26:28" x14ac:dyDescent="0.2">
      <c r="Z115" s="57"/>
      <c r="AB115" s="57"/>
    </row>
    <row r="116" spans="26:28" x14ac:dyDescent="0.2">
      <c r="Z116" s="57"/>
      <c r="AB116" s="57"/>
    </row>
    <row r="117" spans="26:28" x14ac:dyDescent="0.2">
      <c r="Z117" s="57"/>
      <c r="AB117" s="57"/>
    </row>
    <row r="118" spans="26:28" x14ac:dyDescent="0.2">
      <c r="Z118" s="57"/>
      <c r="AB118" s="57"/>
    </row>
    <row r="119" spans="26:28" x14ac:dyDescent="0.2">
      <c r="Z119" s="57"/>
      <c r="AB119" s="57"/>
    </row>
    <row r="120" spans="26:28" x14ac:dyDescent="0.2">
      <c r="Z120" s="57"/>
      <c r="AB120" s="57"/>
    </row>
    <row r="121" spans="26:28" x14ac:dyDescent="0.2">
      <c r="Z121" s="57"/>
      <c r="AB121" s="57"/>
    </row>
    <row r="122" spans="26:28" x14ac:dyDescent="0.2">
      <c r="Z122" s="57"/>
      <c r="AB122" s="57"/>
    </row>
    <row r="123" spans="26:28" x14ac:dyDescent="0.2">
      <c r="Z123" s="57"/>
      <c r="AB123" s="57"/>
    </row>
    <row r="124" spans="26:28" x14ac:dyDescent="0.2">
      <c r="Z124" s="57"/>
      <c r="AB124" s="57"/>
    </row>
    <row r="125" spans="26:28" x14ac:dyDescent="0.2">
      <c r="Z125" s="57"/>
      <c r="AB125" s="57"/>
    </row>
    <row r="126" spans="26:28" x14ac:dyDescent="0.2">
      <c r="Z126" s="57"/>
      <c r="AB126" s="57"/>
    </row>
    <row r="127" spans="26:28" x14ac:dyDescent="0.2">
      <c r="Z127" s="57"/>
      <c r="AB127" s="57"/>
    </row>
    <row r="128" spans="26:28" x14ac:dyDescent="0.2">
      <c r="Z128" s="57"/>
      <c r="AB128" s="57"/>
    </row>
    <row r="129" spans="26:28" x14ac:dyDescent="0.2">
      <c r="Z129" s="57"/>
      <c r="AB129" s="57"/>
    </row>
    <row r="130" spans="26:28" x14ac:dyDescent="0.2">
      <c r="Z130" s="57"/>
      <c r="AB130" s="57"/>
    </row>
    <row r="131" spans="26:28" x14ac:dyDescent="0.2">
      <c r="Z131" s="57"/>
      <c r="AB131" s="57"/>
    </row>
    <row r="132" spans="26:28" x14ac:dyDescent="0.2">
      <c r="Z132" s="57"/>
      <c r="AB132" s="57"/>
    </row>
    <row r="133" spans="26:28" x14ac:dyDescent="0.2">
      <c r="Z133" s="57"/>
      <c r="AB133" s="57"/>
    </row>
    <row r="134" spans="26:28" x14ac:dyDescent="0.2">
      <c r="Z134" s="57"/>
      <c r="AB134" s="57"/>
    </row>
    <row r="135" spans="26:28" x14ac:dyDescent="0.2">
      <c r="Z135" s="57"/>
      <c r="AB135" s="57"/>
    </row>
    <row r="136" spans="26:28" x14ac:dyDescent="0.2">
      <c r="Z136" s="57"/>
      <c r="AB136" s="57"/>
    </row>
    <row r="137" spans="26:28" x14ac:dyDescent="0.2">
      <c r="Z137" s="57"/>
      <c r="AB137" s="57"/>
    </row>
    <row r="138" spans="26:28" x14ac:dyDescent="0.2">
      <c r="Z138" s="57"/>
      <c r="AB138" s="57"/>
    </row>
    <row r="139" spans="26:28" x14ac:dyDescent="0.2">
      <c r="Z139" s="57"/>
      <c r="AB139" s="57"/>
    </row>
    <row r="140" spans="26:28" x14ac:dyDescent="0.2">
      <c r="Z140" s="57"/>
      <c r="AB140" s="57"/>
    </row>
    <row r="141" spans="26:28" x14ac:dyDescent="0.2">
      <c r="Z141" s="57"/>
      <c r="AB141" s="57"/>
    </row>
    <row r="142" spans="26:28" x14ac:dyDescent="0.2">
      <c r="Z142" s="57"/>
      <c r="AB142" s="57"/>
    </row>
    <row r="143" spans="26:28" x14ac:dyDescent="0.2">
      <c r="Z143" s="57"/>
      <c r="AB143" s="57"/>
    </row>
    <row r="144" spans="26:28" x14ac:dyDescent="0.2">
      <c r="Z144" s="57"/>
      <c r="AB144" s="57"/>
    </row>
    <row r="145" spans="26:28" x14ac:dyDescent="0.2">
      <c r="Z145" s="57"/>
      <c r="AB145" s="57"/>
    </row>
    <row r="146" spans="26:28" x14ac:dyDescent="0.2">
      <c r="Z146" s="57"/>
      <c r="AB146" s="57"/>
    </row>
    <row r="147" spans="26:28" x14ac:dyDescent="0.2">
      <c r="Z147" s="57"/>
      <c r="AB147" s="57"/>
    </row>
    <row r="148" spans="26:28" x14ac:dyDescent="0.2">
      <c r="Z148" s="57"/>
      <c r="AB148" s="57"/>
    </row>
    <row r="149" spans="26:28" x14ac:dyDescent="0.2">
      <c r="Z149" s="57"/>
      <c r="AB149" s="57"/>
    </row>
    <row r="150" spans="26:28" x14ac:dyDescent="0.2">
      <c r="Z150" s="57"/>
      <c r="AB150" s="57"/>
    </row>
    <row r="151" spans="26:28" x14ac:dyDescent="0.2">
      <c r="Z151" s="57"/>
      <c r="AB151" s="57"/>
    </row>
    <row r="152" spans="26:28" x14ac:dyDescent="0.2">
      <c r="Z152" s="57"/>
      <c r="AB152" s="57"/>
    </row>
    <row r="153" spans="26:28" x14ac:dyDescent="0.2">
      <c r="Z153" s="57"/>
      <c r="AB153" s="57"/>
    </row>
    <row r="154" spans="26:28" x14ac:dyDescent="0.2">
      <c r="Z154" s="57"/>
      <c r="AB154" s="57"/>
    </row>
    <row r="155" spans="26:28" x14ac:dyDescent="0.2">
      <c r="Z155" s="57"/>
      <c r="AB155" s="57"/>
    </row>
    <row r="156" spans="26:28" x14ac:dyDescent="0.2">
      <c r="Z156" s="57"/>
      <c r="AB156" s="57"/>
    </row>
    <row r="157" spans="26:28" x14ac:dyDescent="0.2">
      <c r="Z157" s="57"/>
      <c r="AB157" s="57"/>
    </row>
    <row r="158" spans="26:28" x14ac:dyDescent="0.2">
      <c r="Z158" s="57"/>
      <c r="AB158" s="57"/>
    </row>
    <row r="159" spans="26:28" x14ac:dyDescent="0.2">
      <c r="Z159" s="57"/>
      <c r="AB159" s="57"/>
    </row>
    <row r="160" spans="26:28" x14ac:dyDescent="0.2">
      <c r="Z160" s="57"/>
      <c r="AB160" s="57"/>
    </row>
    <row r="161" spans="26:28" x14ac:dyDescent="0.2">
      <c r="Z161" s="57"/>
      <c r="AB161" s="57"/>
    </row>
    <row r="162" spans="26:28" x14ac:dyDescent="0.2">
      <c r="Z162" s="57"/>
      <c r="AB162" s="57"/>
    </row>
    <row r="163" spans="26:28" x14ac:dyDescent="0.2">
      <c r="Z163" s="57"/>
      <c r="AB163" s="57"/>
    </row>
    <row r="164" spans="26:28" x14ac:dyDescent="0.2">
      <c r="Z164" s="57"/>
      <c r="AB164" s="57"/>
    </row>
  </sheetData>
  <pageMargins left="0.25" right="0.25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4FF7-D3C7-4ACC-A953-2D1299D2971A}">
  <dimension ref="A1:J33"/>
  <sheetViews>
    <sheetView showGridLines="0" topLeftCell="A4" workbookViewId="0">
      <selection activeCell="D23" sqref="D23"/>
    </sheetView>
  </sheetViews>
  <sheetFormatPr defaultRowHeight="15" x14ac:dyDescent="0.25"/>
  <cols>
    <col min="1" max="4" width="10.7109375" style="1" customWidth="1"/>
    <col min="5" max="7" width="18.7109375" style="8" customWidth="1"/>
    <col min="8" max="10" width="14.7109375" style="8" customWidth="1"/>
    <col min="14" max="15" width="16.7109375" customWidth="1"/>
  </cols>
  <sheetData>
    <row r="1" spans="1:10" x14ac:dyDescent="0.25">
      <c r="A1" s="133" t="s">
        <v>1126</v>
      </c>
      <c r="B1" s="133"/>
      <c r="C1" s="133"/>
      <c r="D1" s="133"/>
      <c r="E1" s="133"/>
      <c r="F1" s="133"/>
      <c r="G1" s="133"/>
      <c r="H1" s="133"/>
      <c r="I1" s="133"/>
      <c r="J1" s="133"/>
    </row>
    <row r="3" spans="1:10" x14ac:dyDescent="0.25">
      <c r="B3" s="129" t="s">
        <v>1121</v>
      </c>
      <c r="C3" s="130"/>
      <c r="D3" s="131"/>
      <c r="E3" s="132" t="s">
        <v>1124</v>
      </c>
      <c r="F3" s="130"/>
      <c r="G3" s="131"/>
      <c r="H3" s="132" t="s">
        <v>1125</v>
      </c>
      <c r="I3" s="130"/>
      <c r="J3" s="131"/>
    </row>
    <row r="4" spans="1:10" x14ac:dyDescent="0.25">
      <c r="A4" s="126" t="s">
        <v>1117</v>
      </c>
      <c r="B4" s="126" t="s">
        <v>1120</v>
      </c>
      <c r="C4" s="126" t="s">
        <v>1119</v>
      </c>
      <c r="D4" s="126" t="s">
        <v>1118</v>
      </c>
      <c r="E4" s="127" t="s">
        <v>1122</v>
      </c>
      <c r="F4" s="127" t="s">
        <v>1123</v>
      </c>
      <c r="G4" s="127" t="s">
        <v>1118</v>
      </c>
      <c r="H4" s="127" t="s">
        <v>1120</v>
      </c>
      <c r="I4" s="127" t="s">
        <v>1119</v>
      </c>
      <c r="J4" s="127" t="s">
        <v>1118</v>
      </c>
    </row>
    <row r="6" spans="1:10" x14ac:dyDescent="0.25">
      <c r="A6" s="1">
        <v>2006</v>
      </c>
      <c r="B6" s="7"/>
      <c r="C6" s="7"/>
      <c r="D6" s="7">
        <v>0.5</v>
      </c>
    </row>
    <row r="7" spans="1:10" x14ac:dyDescent="0.25">
      <c r="A7" s="114">
        <v>2007</v>
      </c>
      <c r="B7" s="115"/>
      <c r="C7" s="115"/>
      <c r="D7" s="115">
        <v>0.4</v>
      </c>
      <c r="E7" s="116"/>
      <c r="F7" s="116"/>
      <c r="G7" s="116">
        <v>1251273964</v>
      </c>
      <c r="H7" s="116"/>
      <c r="I7" s="116"/>
      <c r="J7" s="116">
        <f t="shared" ref="J7:J15" si="0">PRODUCT(G7,D7,0.01)</f>
        <v>5005095.8560000006</v>
      </c>
    </row>
    <row r="8" spans="1:10" x14ac:dyDescent="0.25">
      <c r="A8" s="1">
        <v>2008</v>
      </c>
      <c r="B8" s="7"/>
      <c r="C8" s="7"/>
      <c r="D8" s="7">
        <v>0.35</v>
      </c>
      <c r="G8" s="8">
        <v>1441168934</v>
      </c>
      <c r="J8" s="8">
        <f t="shared" si="0"/>
        <v>5044091.2690000003</v>
      </c>
    </row>
    <row r="9" spans="1:10" x14ac:dyDescent="0.25">
      <c r="A9" s="114">
        <v>2009</v>
      </c>
      <c r="B9" s="115"/>
      <c r="C9" s="115"/>
      <c r="D9" s="115">
        <v>0.33</v>
      </c>
      <c r="E9" s="116"/>
      <c r="F9" s="116"/>
      <c r="G9" s="116">
        <v>1588249545</v>
      </c>
      <c r="H9" s="116"/>
      <c r="I9" s="116"/>
      <c r="J9" s="116">
        <f t="shared" si="0"/>
        <v>5241223.4985000007</v>
      </c>
    </row>
    <row r="10" spans="1:10" x14ac:dyDescent="0.25">
      <c r="A10" s="1">
        <v>2010</v>
      </c>
      <c r="B10" s="7">
        <v>2.8000000000000001E-2</v>
      </c>
      <c r="C10" s="7">
        <v>0.222</v>
      </c>
      <c r="D10" s="7">
        <v>0.25</v>
      </c>
      <c r="E10" s="8">
        <v>1412000000</v>
      </c>
      <c r="F10" s="8">
        <v>171000000</v>
      </c>
      <c r="G10" s="8">
        <f t="shared" ref="G10:G23" si="1">SUM(E10,F10)</f>
        <v>1583000000</v>
      </c>
      <c r="H10" s="8">
        <f t="shared" ref="H10:H15" si="2">PRODUCT(G10,B10,0.01)</f>
        <v>443240</v>
      </c>
      <c r="I10" s="8">
        <f t="shared" ref="I10:I15" si="3">PRODUCT(G10,C10,0.01)</f>
        <v>3514260</v>
      </c>
      <c r="J10" s="8">
        <f t="shared" si="0"/>
        <v>3957500</v>
      </c>
    </row>
    <row r="11" spans="1:10" x14ac:dyDescent="0.25">
      <c r="A11" s="114">
        <v>2011</v>
      </c>
      <c r="B11" s="115">
        <v>2.8000000000000001E-2</v>
      </c>
      <c r="C11" s="115">
        <v>0.222</v>
      </c>
      <c r="D11" s="115">
        <v>0.25</v>
      </c>
      <c r="E11" s="116">
        <v>1374533707</v>
      </c>
      <c r="F11" s="116">
        <v>173407475</v>
      </c>
      <c r="G11" s="116">
        <f t="shared" si="1"/>
        <v>1547941182</v>
      </c>
      <c r="H11" s="116">
        <f t="shared" si="2"/>
        <v>433423.53096</v>
      </c>
      <c r="I11" s="116">
        <f t="shared" si="3"/>
        <v>3436429.42404</v>
      </c>
      <c r="J11" s="116">
        <f t="shared" si="0"/>
        <v>3869852.9550000001</v>
      </c>
    </row>
    <row r="12" spans="1:10" x14ac:dyDescent="0.25">
      <c r="A12" s="1">
        <v>2012</v>
      </c>
      <c r="B12" s="7">
        <v>2.8000000000000001E-2</v>
      </c>
      <c r="C12" s="7">
        <v>0.222</v>
      </c>
      <c r="D12" s="7">
        <v>0.25</v>
      </c>
      <c r="E12" s="8">
        <v>1343758031</v>
      </c>
      <c r="F12" s="8">
        <v>183355207</v>
      </c>
      <c r="G12" s="8">
        <f t="shared" si="1"/>
        <v>1527113238</v>
      </c>
      <c r="H12" s="8">
        <f t="shared" si="2"/>
        <v>427591.70664000005</v>
      </c>
      <c r="I12" s="8">
        <f t="shared" si="3"/>
        <v>3390191.3883600002</v>
      </c>
      <c r="J12" s="8">
        <f t="shared" si="0"/>
        <v>3817783.0950000002</v>
      </c>
    </row>
    <row r="13" spans="1:10" x14ac:dyDescent="0.25">
      <c r="A13" s="114">
        <v>2013</v>
      </c>
      <c r="B13" s="115">
        <v>2.8000000000000001E-2</v>
      </c>
      <c r="C13" s="115">
        <v>0.222</v>
      </c>
      <c r="D13" s="115">
        <v>0.25</v>
      </c>
      <c r="E13" s="116">
        <v>1384324964</v>
      </c>
      <c r="F13" s="116">
        <v>186946922</v>
      </c>
      <c r="G13" s="116">
        <f t="shared" si="1"/>
        <v>1571271886</v>
      </c>
      <c r="H13" s="116">
        <f t="shared" si="2"/>
        <v>439956.12807999999</v>
      </c>
      <c r="I13" s="116">
        <f t="shared" si="3"/>
        <v>3488223.5869200006</v>
      </c>
      <c r="J13" s="116">
        <f t="shared" si="0"/>
        <v>3928179.7149999999</v>
      </c>
    </row>
    <row r="14" spans="1:10" x14ac:dyDescent="0.25">
      <c r="A14" s="1">
        <v>2014</v>
      </c>
      <c r="B14" s="7">
        <v>2.8000000000000001E-2</v>
      </c>
      <c r="C14" s="7">
        <v>0.222</v>
      </c>
      <c r="D14" s="7">
        <v>0.25</v>
      </c>
      <c r="E14" s="8">
        <v>1437323807</v>
      </c>
      <c r="F14" s="8">
        <v>185403017</v>
      </c>
      <c r="G14" s="8">
        <f t="shared" si="1"/>
        <v>1622726824</v>
      </c>
      <c r="H14" s="8">
        <f t="shared" si="2"/>
        <v>454363.51072000008</v>
      </c>
      <c r="I14" s="8">
        <f t="shared" si="3"/>
        <v>3602453.5492800004</v>
      </c>
      <c r="J14" s="8">
        <f t="shared" si="0"/>
        <v>4056817.06</v>
      </c>
    </row>
    <row r="15" spans="1:10" x14ac:dyDescent="0.25">
      <c r="A15" s="114">
        <v>2015</v>
      </c>
      <c r="B15" s="115">
        <v>2.8000000000000001E-2</v>
      </c>
      <c r="C15" s="115">
        <v>0.222</v>
      </c>
      <c r="D15" s="115">
        <v>0.25</v>
      </c>
      <c r="E15" s="116">
        <v>1494521653</v>
      </c>
      <c r="F15" s="116">
        <v>196022157</v>
      </c>
      <c r="G15" s="116">
        <f t="shared" si="1"/>
        <v>1690543810</v>
      </c>
      <c r="H15" s="116">
        <f t="shared" si="2"/>
        <v>473352.26679999998</v>
      </c>
      <c r="I15" s="116">
        <f t="shared" si="3"/>
        <v>3753007.2582</v>
      </c>
      <c r="J15" s="116">
        <f t="shared" si="0"/>
        <v>4226359.5250000004</v>
      </c>
    </row>
    <row r="16" spans="1:10" x14ac:dyDescent="0.25">
      <c r="A16" s="1">
        <v>2016</v>
      </c>
      <c r="B16" s="7">
        <v>4.1399999999999999E-2</v>
      </c>
      <c r="C16" s="7">
        <v>0.21859999999999999</v>
      </c>
      <c r="D16" s="7">
        <v>0.26</v>
      </c>
      <c r="E16" s="8">
        <v>1601593349</v>
      </c>
      <c r="F16" s="8">
        <v>199955517</v>
      </c>
      <c r="G16" s="8">
        <f t="shared" si="1"/>
        <v>1801548866</v>
      </c>
      <c r="H16" s="8">
        <f>PRODUCT(G16,B16,0.01)</f>
        <v>745841.2305239999</v>
      </c>
      <c r="I16" s="8">
        <f>PRODUCT(G16,C16,0.01)</f>
        <v>3938185.8210759996</v>
      </c>
      <c r="J16" s="8">
        <f>PRODUCT(G16,D16,0.01)</f>
        <v>4684027.0516000008</v>
      </c>
    </row>
    <row r="17" spans="1:10" x14ac:dyDescent="0.25">
      <c r="A17" s="114">
        <v>2017</v>
      </c>
      <c r="B17" s="115">
        <v>0.04</v>
      </c>
      <c r="C17" s="115">
        <v>0.22</v>
      </c>
      <c r="D17" s="115">
        <v>0.26</v>
      </c>
      <c r="E17" s="116">
        <v>1722168060</v>
      </c>
      <c r="F17" s="116">
        <v>207280938</v>
      </c>
      <c r="G17" s="116">
        <f t="shared" si="1"/>
        <v>1929448998</v>
      </c>
      <c r="H17" s="116">
        <f t="shared" ref="H17:H23" si="4">PRODUCT(G17,B17,0.01)</f>
        <v>771779.59920000006</v>
      </c>
      <c r="I17" s="116">
        <f t="shared" ref="I17:I23" si="5">PRODUCT(G17,C17,0.01)</f>
        <v>4244787.7955999998</v>
      </c>
      <c r="J17" s="116">
        <f t="shared" ref="J17:J23" si="6">PRODUCT(G17,D17,0.01)</f>
        <v>5016567.3947999999</v>
      </c>
    </row>
    <row r="18" spans="1:10" x14ac:dyDescent="0.25">
      <c r="A18" s="1">
        <v>2018</v>
      </c>
      <c r="B18" s="7">
        <v>4.1230000000000003E-2</v>
      </c>
      <c r="C18" s="7">
        <v>0.22578999999999999</v>
      </c>
      <c r="D18" s="7">
        <v>0.26701999999999998</v>
      </c>
      <c r="E18" s="8">
        <v>1837165951</v>
      </c>
      <c r="F18" s="8">
        <v>219793421</v>
      </c>
      <c r="G18" s="8">
        <f t="shared" si="1"/>
        <v>2056959372</v>
      </c>
      <c r="H18" s="8">
        <f t="shared" si="4"/>
        <v>848084.34907560004</v>
      </c>
      <c r="I18" s="8">
        <f t="shared" si="5"/>
        <v>4644408.5660388004</v>
      </c>
      <c r="J18" s="8">
        <f t="shared" si="6"/>
        <v>5492492.915114399</v>
      </c>
    </row>
    <row r="19" spans="1:10" x14ac:dyDescent="0.25">
      <c r="A19" s="114">
        <v>2019</v>
      </c>
      <c r="B19" s="115">
        <v>3.8359999999999998E-2</v>
      </c>
      <c r="C19" s="115">
        <v>0.23164000000000001</v>
      </c>
      <c r="D19" s="115">
        <v>0.27</v>
      </c>
      <c r="E19" s="116">
        <v>1949503369</v>
      </c>
      <c r="F19" s="116">
        <v>238574138</v>
      </c>
      <c r="G19" s="116">
        <f t="shared" si="1"/>
        <v>2188077507</v>
      </c>
      <c r="H19" s="116">
        <f t="shared" si="4"/>
        <v>839346.53168520005</v>
      </c>
      <c r="I19" s="116">
        <f t="shared" si="5"/>
        <v>5068462.7372148</v>
      </c>
      <c r="J19" s="116">
        <f t="shared" si="6"/>
        <v>5907809.2688999996</v>
      </c>
    </row>
    <row r="20" spans="1:10" x14ac:dyDescent="0.25">
      <c r="A20" s="1">
        <v>2020</v>
      </c>
      <c r="B20" s="7">
        <v>3.4729999999999997E-2</v>
      </c>
      <c r="C20" s="7">
        <v>0.23527000000000001</v>
      </c>
      <c r="D20" s="7">
        <v>0.27</v>
      </c>
      <c r="E20" s="8">
        <v>2101237471</v>
      </c>
      <c r="F20" s="8">
        <v>244902405</v>
      </c>
      <c r="G20" s="8">
        <f t="shared" si="1"/>
        <v>2346139876</v>
      </c>
      <c r="H20" s="8">
        <f t="shared" si="4"/>
        <v>814814.37893479993</v>
      </c>
      <c r="I20" s="8">
        <f t="shared" si="5"/>
        <v>5519763.2862652009</v>
      </c>
      <c r="J20" s="8">
        <f t="shared" si="6"/>
        <v>6334577.6652000016</v>
      </c>
    </row>
    <row r="21" spans="1:10" x14ac:dyDescent="0.25">
      <c r="A21" s="114">
        <v>2021</v>
      </c>
      <c r="B21" s="115">
        <v>4.1029999999999997E-2</v>
      </c>
      <c r="C21" s="115">
        <v>0.22897000000000001</v>
      </c>
      <c r="D21" s="115">
        <v>0.27</v>
      </c>
      <c r="E21" s="116">
        <v>2319710754</v>
      </c>
      <c r="F21" s="116">
        <v>272686943</v>
      </c>
      <c r="G21" s="116">
        <f t="shared" si="1"/>
        <v>2592397697</v>
      </c>
      <c r="H21" s="116">
        <f t="shared" si="4"/>
        <v>1063660.7750790999</v>
      </c>
      <c r="I21" s="116">
        <f t="shared" si="5"/>
        <v>5935813.0068209004</v>
      </c>
      <c r="J21" s="116">
        <f t="shared" si="6"/>
        <v>6999473.7819000008</v>
      </c>
    </row>
    <row r="22" spans="1:10" x14ac:dyDescent="0.25">
      <c r="A22" s="1">
        <v>2022</v>
      </c>
      <c r="B22" s="7">
        <v>5.6390000000000003E-2</v>
      </c>
      <c r="C22" s="7">
        <v>0.21360999999999999</v>
      </c>
      <c r="D22" s="7">
        <v>0.27</v>
      </c>
      <c r="E22" s="8">
        <v>2729206533</v>
      </c>
      <c r="F22" s="8">
        <v>329226699</v>
      </c>
      <c r="G22" s="8">
        <f t="shared" si="1"/>
        <v>3058433232</v>
      </c>
      <c r="H22" s="8">
        <f t="shared" si="4"/>
        <v>1724650.4995248001</v>
      </c>
      <c r="I22" s="8">
        <f t="shared" si="5"/>
        <v>6533119.2268752009</v>
      </c>
      <c r="J22" s="8">
        <f t="shared" si="6"/>
        <v>8257769.726400001</v>
      </c>
    </row>
    <row r="23" spans="1:10" x14ac:dyDescent="0.25">
      <c r="A23" s="114">
        <v>2023</v>
      </c>
      <c r="B23" s="115">
        <v>6.6739999999999994E-2</v>
      </c>
      <c r="C23" s="115">
        <v>0.20100999999999999</v>
      </c>
      <c r="D23" s="115">
        <v>0.26774999999999999</v>
      </c>
      <c r="E23" s="116">
        <v>3153176338</v>
      </c>
      <c r="F23" s="116">
        <v>396192325</v>
      </c>
      <c r="G23" s="116">
        <f t="shared" si="1"/>
        <v>3549368663</v>
      </c>
      <c r="H23" s="116">
        <f t="shared" si="4"/>
        <v>2368848.6456861999</v>
      </c>
      <c r="I23" s="116">
        <f t="shared" si="5"/>
        <v>7134585.9494963</v>
      </c>
      <c r="J23" s="116">
        <f t="shared" si="6"/>
        <v>9503434.5951825008</v>
      </c>
    </row>
    <row r="24" spans="1:10" x14ac:dyDescent="0.25">
      <c r="B24" s="7"/>
      <c r="C24" s="7"/>
      <c r="D24" s="7"/>
    </row>
    <row r="25" spans="1:10" x14ac:dyDescent="0.25">
      <c r="B25" s="7"/>
      <c r="C25" s="7"/>
      <c r="D25" s="7"/>
    </row>
    <row r="26" spans="1:10" x14ac:dyDescent="0.25">
      <c r="B26" s="7"/>
      <c r="C26" s="7"/>
      <c r="D26" s="7"/>
    </row>
    <row r="27" spans="1:10" x14ac:dyDescent="0.25">
      <c r="B27" s="7"/>
      <c r="C27" s="7"/>
      <c r="D27" s="7"/>
    </row>
    <row r="28" spans="1:10" x14ac:dyDescent="0.25">
      <c r="B28" s="7"/>
      <c r="C28" s="7"/>
      <c r="D28" s="7"/>
    </row>
    <row r="29" spans="1:10" x14ac:dyDescent="0.25">
      <c r="B29" s="7"/>
      <c r="C29" s="7"/>
      <c r="D29" s="7"/>
    </row>
    <row r="30" spans="1:10" x14ac:dyDescent="0.25">
      <c r="B30" s="7"/>
      <c r="C30" s="7"/>
      <c r="D30" s="7"/>
    </row>
    <row r="31" spans="1:10" x14ac:dyDescent="0.25">
      <c r="B31" s="7"/>
      <c r="C31" s="7"/>
      <c r="D31" s="7"/>
    </row>
    <row r="32" spans="1:10" x14ac:dyDescent="0.25">
      <c r="B32" s="7"/>
      <c r="C32" s="7"/>
      <c r="D32" s="7"/>
    </row>
    <row r="33" spans="2:4" x14ac:dyDescent="0.25">
      <c r="B33" s="7"/>
      <c r="C33" s="7"/>
      <c r="D33" s="7"/>
    </row>
  </sheetData>
  <mergeCells count="4">
    <mergeCell ref="B3:D3"/>
    <mergeCell ref="E3:G3"/>
    <mergeCell ref="H3:J3"/>
    <mergeCell ref="A1:J1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0D48-36B8-4449-AA3C-AF96EB0B5560}">
  <dimension ref="A1:H79"/>
  <sheetViews>
    <sheetView showGridLines="0" workbookViewId="0">
      <selection activeCell="D58" activeCellId="3" sqref="D53 D48 D52 D58"/>
    </sheetView>
  </sheetViews>
  <sheetFormatPr defaultRowHeight="15" x14ac:dyDescent="0.25"/>
  <cols>
    <col min="1" max="1" width="51.7109375" bestFit="1" customWidth="1"/>
    <col min="2" max="2" width="10.7109375" customWidth="1"/>
    <col min="3" max="6" width="13.140625" bestFit="1" customWidth="1"/>
    <col min="7" max="8" width="13.140625" customWidth="1"/>
  </cols>
  <sheetData>
    <row r="1" spans="1:8" ht="15" customHeight="1" x14ac:dyDescent="0.25">
      <c r="A1" s="136" t="s">
        <v>1157</v>
      </c>
      <c r="B1" s="136"/>
      <c r="C1" s="137"/>
      <c r="D1" s="137"/>
      <c r="E1" s="137"/>
      <c r="F1" s="137"/>
      <c r="G1" s="137"/>
      <c r="H1" s="137"/>
    </row>
    <row r="2" spans="1:8" ht="15" customHeight="1" x14ac:dyDescent="0.25">
      <c r="A2" s="136" t="s">
        <v>1158</v>
      </c>
      <c r="B2" s="136"/>
      <c r="C2" s="137"/>
      <c r="D2" s="137"/>
      <c r="E2" s="137"/>
      <c r="F2" s="137"/>
      <c r="G2" s="137"/>
      <c r="H2" s="137"/>
    </row>
    <row r="3" spans="1:8" ht="15" customHeight="1" x14ac:dyDescent="0.25">
      <c r="A3" s="9"/>
      <c r="B3" s="9"/>
      <c r="C3" s="9"/>
      <c r="D3" s="9"/>
      <c r="E3" s="9"/>
    </row>
    <row r="4" spans="1:8" ht="15" customHeight="1" x14ac:dyDescent="0.25">
      <c r="A4" s="138" t="s">
        <v>1159</v>
      </c>
      <c r="B4" s="144" t="s">
        <v>1179</v>
      </c>
      <c r="C4" s="140" t="s">
        <v>4</v>
      </c>
      <c r="D4" s="140" t="s">
        <v>10</v>
      </c>
      <c r="E4" s="140" t="s">
        <v>1160</v>
      </c>
      <c r="F4" s="140" t="s">
        <v>1161</v>
      </c>
      <c r="G4" s="140" t="s">
        <v>1162</v>
      </c>
      <c r="H4" s="142" t="s">
        <v>1163</v>
      </c>
    </row>
    <row r="5" spans="1:8" ht="15" customHeight="1" x14ac:dyDescent="0.25">
      <c r="A5" s="139"/>
      <c r="B5" s="145"/>
      <c r="C5" s="141"/>
      <c r="D5" s="141"/>
      <c r="E5" s="141"/>
      <c r="F5" s="141"/>
      <c r="G5" s="141"/>
      <c r="H5" s="143"/>
    </row>
    <row r="6" spans="1:8" ht="15" customHeight="1" x14ac:dyDescent="0.25">
      <c r="A6" s="10" t="s">
        <v>1177</v>
      </c>
      <c r="B6" s="26" t="s">
        <v>1178</v>
      </c>
      <c r="C6" s="12">
        <v>20000</v>
      </c>
      <c r="D6" s="12">
        <v>20000</v>
      </c>
      <c r="E6" s="12">
        <v>20000</v>
      </c>
      <c r="F6" s="12">
        <v>20000</v>
      </c>
      <c r="G6" s="12">
        <v>20000</v>
      </c>
      <c r="H6" s="12">
        <v>0</v>
      </c>
    </row>
    <row r="7" spans="1:8" ht="15" customHeight="1" x14ac:dyDescent="0.25">
      <c r="A7" s="27" t="s">
        <v>1188</v>
      </c>
      <c r="B7" s="28" t="s">
        <v>1180</v>
      </c>
      <c r="C7" s="29">
        <v>60000</v>
      </c>
      <c r="D7" s="29">
        <v>105000</v>
      </c>
      <c r="E7" s="29">
        <v>180000</v>
      </c>
      <c r="F7" s="29">
        <v>120000</v>
      </c>
      <c r="G7" s="29">
        <v>125000</v>
      </c>
      <c r="H7" s="29">
        <v>125000</v>
      </c>
    </row>
    <row r="8" spans="1:8" ht="15" customHeight="1" x14ac:dyDescent="0.25">
      <c r="A8" s="10" t="s">
        <v>1184</v>
      </c>
      <c r="B8" s="26" t="s">
        <v>1180</v>
      </c>
      <c r="C8" s="12">
        <v>0</v>
      </c>
      <c r="D8" s="11">
        <v>23000</v>
      </c>
      <c r="E8" s="11">
        <v>0</v>
      </c>
      <c r="F8" s="11">
        <v>0</v>
      </c>
      <c r="G8" s="11">
        <v>0</v>
      </c>
      <c r="H8" s="11">
        <v>0</v>
      </c>
    </row>
    <row r="9" spans="1:8" ht="15" customHeight="1" x14ac:dyDescent="0.25">
      <c r="A9" s="27" t="s">
        <v>1185</v>
      </c>
      <c r="B9" s="28" t="s">
        <v>1180</v>
      </c>
      <c r="C9" s="29">
        <v>0</v>
      </c>
      <c r="D9" s="30">
        <v>31000</v>
      </c>
      <c r="E9" s="30">
        <v>0</v>
      </c>
      <c r="F9" s="30">
        <v>0</v>
      </c>
      <c r="G9" s="30">
        <v>0</v>
      </c>
      <c r="H9" s="30">
        <v>0</v>
      </c>
    </row>
    <row r="10" spans="1:8" ht="15" customHeight="1" x14ac:dyDescent="0.25">
      <c r="A10" s="10" t="s">
        <v>1164</v>
      </c>
      <c r="B10" s="26" t="s">
        <v>1180</v>
      </c>
      <c r="C10" s="13">
        <v>0</v>
      </c>
      <c r="D10" s="13">
        <v>0</v>
      </c>
      <c r="E10" s="13">
        <v>0</v>
      </c>
      <c r="F10" s="12">
        <v>0</v>
      </c>
      <c r="G10" s="12">
        <v>70000</v>
      </c>
      <c r="H10" s="12">
        <v>0</v>
      </c>
    </row>
    <row r="11" spans="1:8" ht="15" customHeight="1" x14ac:dyDescent="0.25">
      <c r="A11" s="27" t="s">
        <v>1186</v>
      </c>
      <c r="B11" s="28" t="s">
        <v>1181</v>
      </c>
      <c r="C11" s="29">
        <v>57000</v>
      </c>
      <c r="D11" s="29">
        <v>57000</v>
      </c>
      <c r="E11" s="29">
        <v>55000</v>
      </c>
      <c r="F11" s="29">
        <v>0</v>
      </c>
      <c r="G11" s="29">
        <v>0</v>
      </c>
      <c r="H11" s="29">
        <v>0</v>
      </c>
    </row>
    <row r="12" spans="1:8" ht="15" customHeight="1" x14ac:dyDescent="0.25">
      <c r="A12" s="10" t="s">
        <v>1187</v>
      </c>
      <c r="B12" s="26" t="s">
        <v>1181</v>
      </c>
      <c r="C12" s="12">
        <v>0</v>
      </c>
      <c r="D12" s="12">
        <v>0</v>
      </c>
      <c r="E12" s="12">
        <v>65000</v>
      </c>
      <c r="F12" s="12">
        <v>0</v>
      </c>
      <c r="G12" s="12">
        <v>0</v>
      </c>
      <c r="H12" s="12">
        <v>0</v>
      </c>
    </row>
    <row r="13" spans="1:8" ht="15" customHeight="1" x14ac:dyDescent="0.25">
      <c r="A13" s="27" t="s">
        <v>1189</v>
      </c>
      <c r="B13" s="28" t="s">
        <v>1182</v>
      </c>
      <c r="C13" s="29">
        <v>405000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 ht="15" customHeight="1" x14ac:dyDescent="0.25">
      <c r="A14" s="10" t="s">
        <v>1190</v>
      </c>
      <c r="B14" s="26" t="s">
        <v>1182</v>
      </c>
      <c r="C14" s="14">
        <v>0</v>
      </c>
      <c r="D14" s="15">
        <v>0</v>
      </c>
      <c r="E14" s="15">
        <v>0</v>
      </c>
      <c r="F14" s="15">
        <v>84000</v>
      </c>
      <c r="G14" s="15">
        <v>0</v>
      </c>
      <c r="H14" s="15">
        <v>0</v>
      </c>
    </row>
    <row r="15" spans="1:8" ht="15" customHeight="1" x14ac:dyDescent="0.25">
      <c r="A15" s="27" t="s">
        <v>1191</v>
      </c>
      <c r="B15" s="28" t="s">
        <v>1182</v>
      </c>
      <c r="C15" s="29">
        <v>0</v>
      </c>
      <c r="D15" s="30">
        <v>35000</v>
      </c>
      <c r="E15" s="30">
        <v>38000</v>
      </c>
      <c r="F15" s="30">
        <v>0</v>
      </c>
      <c r="G15" s="30">
        <v>0</v>
      </c>
      <c r="H15" s="30">
        <v>0</v>
      </c>
    </row>
    <row r="16" spans="1:8" ht="15" customHeight="1" x14ac:dyDescent="0.25">
      <c r="A16" s="10" t="s">
        <v>1192</v>
      </c>
      <c r="B16" s="26" t="s">
        <v>1182</v>
      </c>
      <c r="C16" s="12">
        <v>0</v>
      </c>
      <c r="D16" s="11">
        <v>0</v>
      </c>
      <c r="E16" s="11">
        <v>0</v>
      </c>
      <c r="F16" s="11">
        <v>0</v>
      </c>
      <c r="G16" s="11">
        <v>940000</v>
      </c>
      <c r="H16" s="11">
        <v>0</v>
      </c>
    </row>
    <row r="17" spans="1:8" ht="15" customHeight="1" x14ac:dyDescent="0.25">
      <c r="A17" s="10"/>
      <c r="B17" s="26"/>
      <c r="C17" s="12"/>
      <c r="D17" s="11"/>
      <c r="E17" s="11"/>
      <c r="F17" s="11"/>
      <c r="G17" s="11"/>
      <c r="H17" s="11"/>
    </row>
    <row r="18" spans="1:8" ht="15" customHeight="1" x14ac:dyDescent="0.25">
      <c r="A18" s="9" t="s">
        <v>1118</v>
      </c>
      <c r="B18" s="9"/>
      <c r="C18" s="32">
        <f t="shared" ref="C18:H18" si="0">SUM(C6:C16)</f>
        <v>542000</v>
      </c>
      <c r="D18" s="32">
        <f t="shared" si="0"/>
        <v>271000</v>
      </c>
      <c r="E18" s="32">
        <f t="shared" si="0"/>
        <v>358000</v>
      </c>
      <c r="F18" s="32">
        <f t="shared" si="0"/>
        <v>224000</v>
      </c>
      <c r="G18" s="32">
        <f t="shared" si="0"/>
        <v>1155000</v>
      </c>
      <c r="H18" s="32">
        <f t="shared" si="0"/>
        <v>125000</v>
      </c>
    </row>
    <row r="19" spans="1:8" ht="15" customHeight="1" x14ac:dyDescent="0.25">
      <c r="A19" s="9"/>
      <c r="B19" s="9"/>
      <c r="C19" s="31"/>
      <c r="D19" s="31"/>
      <c r="E19" s="31"/>
      <c r="F19" s="31"/>
      <c r="G19" s="31"/>
      <c r="H19" s="31"/>
    </row>
    <row r="20" spans="1:8" ht="15" customHeight="1" x14ac:dyDescent="0.25">
      <c r="A20" s="138" t="s">
        <v>1193</v>
      </c>
      <c r="B20" s="37"/>
      <c r="C20" s="134" t="s">
        <v>4</v>
      </c>
      <c r="D20" s="134" t="s">
        <v>10</v>
      </c>
      <c r="E20" s="134" t="s">
        <v>1160</v>
      </c>
      <c r="F20" s="134" t="s">
        <v>1161</v>
      </c>
      <c r="G20" s="134" t="s">
        <v>1162</v>
      </c>
      <c r="H20" s="147" t="s">
        <v>1163</v>
      </c>
    </row>
    <row r="21" spans="1:8" ht="15" customHeight="1" x14ac:dyDescent="0.25">
      <c r="A21" s="139"/>
      <c r="B21" s="38"/>
      <c r="C21" s="135"/>
      <c r="D21" s="135"/>
      <c r="E21" s="135"/>
      <c r="F21" s="135"/>
      <c r="G21" s="135"/>
      <c r="H21" s="148"/>
    </row>
    <row r="22" spans="1:8" ht="15" customHeight="1" x14ac:dyDescent="0.25">
      <c r="A22" s="16" t="s">
        <v>1165</v>
      </c>
      <c r="B22" s="16"/>
      <c r="C22" s="14">
        <v>75000</v>
      </c>
      <c r="D22" s="17">
        <v>115000</v>
      </c>
      <c r="E22" s="17">
        <v>125000</v>
      </c>
      <c r="F22" s="17">
        <v>125000</v>
      </c>
      <c r="G22" s="17">
        <v>125000</v>
      </c>
      <c r="H22" s="17">
        <v>125000</v>
      </c>
    </row>
    <row r="23" spans="1:8" ht="15" customHeight="1" x14ac:dyDescent="0.25">
      <c r="A23" s="34" t="s">
        <v>1194</v>
      </c>
      <c r="B23" s="34"/>
      <c r="C23" s="35">
        <v>0</v>
      </c>
      <c r="D23" s="36">
        <v>25000</v>
      </c>
      <c r="E23" s="36">
        <v>50000</v>
      </c>
      <c r="F23" s="36">
        <v>0</v>
      </c>
      <c r="G23" s="36">
        <v>0</v>
      </c>
      <c r="H23" s="36">
        <v>0</v>
      </c>
    </row>
    <row r="24" spans="1:8" ht="15" customHeight="1" x14ac:dyDescent="0.25">
      <c r="A24" s="16" t="s">
        <v>1195</v>
      </c>
      <c r="B24" s="16"/>
      <c r="C24" s="14">
        <v>0</v>
      </c>
      <c r="D24" s="17">
        <v>18000</v>
      </c>
      <c r="E24" s="17">
        <v>18000</v>
      </c>
      <c r="F24" s="17">
        <v>0</v>
      </c>
      <c r="G24" s="17">
        <v>18000</v>
      </c>
      <c r="H24" s="17">
        <v>0</v>
      </c>
    </row>
    <row r="25" spans="1:8" ht="15" customHeight="1" x14ac:dyDescent="0.25">
      <c r="A25" s="34" t="s">
        <v>1183</v>
      </c>
      <c r="B25" s="34"/>
      <c r="C25" s="35">
        <v>60000</v>
      </c>
      <c r="D25" s="36">
        <v>265000</v>
      </c>
      <c r="E25" s="36">
        <v>150000</v>
      </c>
      <c r="F25" s="36">
        <v>100000</v>
      </c>
      <c r="G25" s="36">
        <v>120000</v>
      </c>
      <c r="H25" s="36">
        <v>150000</v>
      </c>
    </row>
    <row r="26" spans="1:8" ht="15" customHeight="1" x14ac:dyDescent="0.25">
      <c r="A26" s="16" t="s">
        <v>1196</v>
      </c>
      <c r="B26" s="16"/>
      <c r="C26" s="14">
        <v>0</v>
      </c>
      <c r="D26" s="17">
        <v>25000</v>
      </c>
      <c r="E26" s="17">
        <v>0</v>
      </c>
      <c r="F26" s="17">
        <v>0</v>
      </c>
      <c r="G26" s="17">
        <v>0</v>
      </c>
      <c r="H26" s="17">
        <v>0</v>
      </c>
    </row>
    <row r="27" spans="1:8" ht="15" customHeight="1" x14ac:dyDescent="0.25">
      <c r="A27" s="34" t="s">
        <v>1197</v>
      </c>
      <c r="B27" s="34"/>
      <c r="C27" s="35">
        <v>135000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ht="15" customHeight="1" x14ac:dyDescent="0.25">
      <c r="A28" s="16" t="s">
        <v>1166</v>
      </c>
      <c r="B28" s="16"/>
      <c r="C28" s="14">
        <v>80000</v>
      </c>
      <c r="D28" s="17">
        <v>130000</v>
      </c>
      <c r="E28" s="17">
        <v>140000</v>
      </c>
      <c r="F28" s="17">
        <v>150000</v>
      </c>
      <c r="G28" s="17">
        <v>235000</v>
      </c>
      <c r="H28" s="17">
        <v>175000</v>
      </c>
    </row>
    <row r="29" spans="1:8" ht="15" customHeight="1" x14ac:dyDescent="0.25">
      <c r="A29" s="34" t="s">
        <v>1199</v>
      </c>
      <c r="B29" s="34"/>
      <c r="C29" s="35">
        <v>0</v>
      </c>
      <c r="D29" s="36">
        <v>35000</v>
      </c>
      <c r="E29" s="36">
        <v>35000</v>
      </c>
      <c r="F29" s="36">
        <v>42000</v>
      </c>
      <c r="G29" s="36">
        <v>42000</v>
      </c>
      <c r="H29" s="36">
        <v>56000</v>
      </c>
    </row>
    <row r="30" spans="1:8" ht="15" customHeight="1" x14ac:dyDescent="0.25">
      <c r="A30" s="16" t="s">
        <v>1198</v>
      </c>
      <c r="B30" s="16"/>
      <c r="C30" s="14">
        <v>70000</v>
      </c>
      <c r="D30" s="17">
        <v>90000</v>
      </c>
      <c r="E30" s="17">
        <v>90000</v>
      </c>
      <c r="F30" s="17">
        <v>90000</v>
      </c>
      <c r="G30" s="17">
        <v>90000</v>
      </c>
      <c r="H30" s="17">
        <v>90000</v>
      </c>
    </row>
    <row r="31" spans="1:8" ht="15" customHeight="1" x14ac:dyDescent="0.25">
      <c r="A31" s="34" t="s">
        <v>1200</v>
      </c>
      <c r="B31" s="34"/>
      <c r="C31" s="35">
        <v>0</v>
      </c>
      <c r="D31" s="36">
        <v>0</v>
      </c>
      <c r="E31" s="36">
        <v>90000</v>
      </c>
      <c r="F31" s="36">
        <v>0</v>
      </c>
      <c r="G31" s="36">
        <v>0</v>
      </c>
      <c r="H31" s="36">
        <v>0</v>
      </c>
    </row>
    <row r="32" spans="1:8" ht="15" customHeight="1" x14ac:dyDescent="0.25">
      <c r="A32" s="16" t="s">
        <v>1201</v>
      </c>
      <c r="B32" s="16"/>
      <c r="C32" s="14">
        <v>0</v>
      </c>
      <c r="D32" s="17">
        <v>25000</v>
      </c>
      <c r="E32" s="17">
        <v>0</v>
      </c>
      <c r="F32" s="17">
        <v>0</v>
      </c>
      <c r="G32" s="17">
        <v>50000</v>
      </c>
      <c r="H32" s="17">
        <v>0</v>
      </c>
    </row>
    <row r="33" spans="1:8" ht="15" customHeight="1" x14ac:dyDescent="0.25">
      <c r="A33" s="34" t="s">
        <v>1167</v>
      </c>
      <c r="B33" s="34"/>
      <c r="C33" s="35">
        <v>25000</v>
      </c>
      <c r="D33" s="36">
        <v>0</v>
      </c>
      <c r="E33" s="36">
        <v>0</v>
      </c>
      <c r="F33" s="36">
        <v>50000</v>
      </c>
      <c r="G33" s="36">
        <v>0</v>
      </c>
      <c r="H33" s="36">
        <v>0</v>
      </c>
    </row>
    <row r="34" spans="1:8" ht="15" customHeight="1" x14ac:dyDescent="0.25">
      <c r="A34" s="16" t="s">
        <v>1177</v>
      </c>
      <c r="B34" s="16"/>
      <c r="C34" s="14">
        <v>60000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</row>
    <row r="35" spans="1:8" ht="15" customHeight="1" x14ac:dyDescent="0.25">
      <c r="A35" s="34" t="s">
        <v>1202</v>
      </c>
      <c r="B35" s="34"/>
      <c r="C35" s="35">
        <v>63000</v>
      </c>
      <c r="D35" s="36">
        <v>350000</v>
      </c>
      <c r="E35" s="36">
        <v>0</v>
      </c>
      <c r="F35" s="36">
        <v>0</v>
      </c>
      <c r="G35" s="36">
        <v>0</v>
      </c>
      <c r="H35" s="36">
        <v>0</v>
      </c>
    </row>
    <row r="36" spans="1:8" ht="15" customHeight="1" x14ac:dyDescent="0.25">
      <c r="A36" s="16" t="s">
        <v>1203</v>
      </c>
      <c r="B36" s="16"/>
      <c r="C36" s="14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8" ht="15" customHeight="1" x14ac:dyDescent="0.25">
      <c r="A37" s="34" t="s">
        <v>1168</v>
      </c>
      <c r="B37" s="34"/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</row>
    <row r="38" spans="1:8" ht="15" customHeight="1" x14ac:dyDescent="0.25">
      <c r="A38" s="16"/>
      <c r="B38" s="16"/>
      <c r="C38" s="18"/>
      <c r="D38" s="18"/>
      <c r="E38" s="18"/>
      <c r="F38" s="18"/>
      <c r="G38" s="18"/>
      <c r="H38" s="18"/>
    </row>
    <row r="39" spans="1:8" ht="15" customHeight="1" x14ac:dyDescent="0.25">
      <c r="A39" s="9" t="s">
        <v>1118</v>
      </c>
      <c r="B39" s="9"/>
      <c r="C39" s="33">
        <f t="shared" ref="C39:H39" si="1">SUM(C22:C37)</f>
        <v>568000</v>
      </c>
      <c r="D39" s="33">
        <f t="shared" si="1"/>
        <v>1078000</v>
      </c>
      <c r="E39" s="33">
        <f t="shared" si="1"/>
        <v>698000</v>
      </c>
      <c r="F39" s="33">
        <f t="shared" si="1"/>
        <v>557000</v>
      </c>
      <c r="G39" s="33">
        <f t="shared" si="1"/>
        <v>680000</v>
      </c>
      <c r="H39" s="33">
        <f t="shared" si="1"/>
        <v>596000</v>
      </c>
    </row>
    <row r="40" spans="1:8" ht="15" customHeight="1" x14ac:dyDescent="0.25">
      <c r="A40" s="9"/>
      <c r="B40" s="9"/>
      <c r="C40" s="20"/>
      <c r="D40" s="20"/>
      <c r="E40" s="20"/>
      <c r="F40" s="21"/>
      <c r="G40" s="21"/>
      <c r="H40" s="21"/>
    </row>
    <row r="41" spans="1:8" ht="15" customHeight="1" x14ac:dyDescent="0.25">
      <c r="A41" s="138" t="s">
        <v>1204</v>
      </c>
      <c r="B41" s="37"/>
      <c r="C41" s="134" t="s">
        <v>4</v>
      </c>
      <c r="D41" s="134" t="s">
        <v>10</v>
      </c>
      <c r="E41" s="134" t="s">
        <v>1160</v>
      </c>
      <c r="F41" s="134" t="s">
        <v>1161</v>
      </c>
      <c r="G41" s="134" t="s">
        <v>1162</v>
      </c>
      <c r="H41" s="147" t="s">
        <v>1163</v>
      </c>
    </row>
    <row r="42" spans="1:8" ht="15" customHeight="1" x14ac:dyDescent="0.25">
      <c r="A42" s="139"/>
      <c r="B42" s="38"/>
      <c r="C42" s="135"/>
      <c r="D42" s="135"/>
      <c r="E42" s="135"/>
      <c r="F42" s="135"/>
      <c r="G42" s="135"/>
      <c r="H42" s="148"/>
    </row>
    <row r="43" spans="1:8" ht="15" customHeight="1" x14ac:dyDescent="0.25">
      <c r="A43" s="16" t="s">
        <v>1205</v>
      </c>
      <c r="B43" s="16"/>
      <c r="C43" s="14">
        <v>986200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</row>
    <row r="44" spans="1:8" ht="15" customHeight="1" x14ac:dyDescent="0.25">
      <c r="A44" s="34" t="s">
        <v>1206</v>
      </c>
      <c r="B44" s="34"/>
      <c r="C44" s="35">
        <v>0</v>
      </c>
      <c r="D44" s="36">
        <v>250000</v>
      </c>
      <c r="E44" s="36">
        <v>225000</v>
      </c>
      <c r="F44" s="36">
        <v>0</v>
      </c>
      <c r="G44" s="36">
        <v>0</v>
      </c>
      <c r="H44" s="36">
        <v>0</v>
      </c>
    </row>
    <row r="45" spans="1:8" ht="15" customHeight="1" x14ac:dyDescent="0.25">
      <c r="A45" s="16" t="s">
        <v>1169</v>
      </c>
      <c r="B45" s="16"/>
      <c r="C45" s="18">
        <v>0</v>
      </c>
      <c r="D45" s="19">
        <v>0</v>
      </c>
      <c r="E45" s="19">
        <v>0</v>
      </c>
      <c r="F45" s="19">
        <v>2050000</v>
      </c>
      <c r="G45" s="19">
        <v>0</v>
      </c>
      <c r="H45" s="19">
        <v>0</v>
      </c>
    </row>
    <row r="46" spans="1:8" ht="15" customHeight="1" x14ac:dyDescent="0.25">
      <c r="A46" s="34" t="s">
        <v>1170</v>
      </c>
      <c r="B46" s="34"/>
      <c r="C46" s="35">
        <v>125000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</row>
    <row r="47" spans="1:8" ht="15" customHeight="1" x14ac:dyDescent="0.25">
      <c r="A47" s="16" t="s">
        <v>1171</v>
      </c>
      <c r="B47" s="16"/>
      <c r="C47" s="18">
        <v>0</v>
      </c>
      <c r="D47" s="19">
        <v>0</v>
      </c>
      <c r="E47" s="19">
        <v>175000</v>
      </c>
      <c r="F47" s="19">
        <v>0</v>
      </c>
      <c r="G47" s="19">
        <v>0</v>
      </c>
      <c r="H47" s="19">
        <v>0</v>
      </c>
    </row>
    <row r="48" spans="1:8" ht="15" customHeight="1" x14ac:dyDescent="0.25">
      <c r="A48" s="34" t="s">
        <v>1207</v>
      </c>
      <c r="B48" s="34"/>
      <c r="C48" s="35">
        <v>0</v>
      </c>
      <c r="D48" s="36">
        <v>450000</v>
      </c>
      <c r="E48" s="36">
        <v>0</v>
      </c>
      <c r="F48" s="36">
        <v>0</v>
      </c>
      <c r="G48" s="36">
        <v>0</v>
      </c>
      <c r="H48" s="36">
        <v>0</v>
      </c>
    </row>
    <row r="49" spans="1:8" ht="15" customHeight="1" x14ac:dyDescent="0.25">
      <c r="A49" s="16" t="s">
        <v>1208</v>
      </c>
      <c r="B49" s="16"/>
      <c r="C49" s="18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</row>
    <row r="50" spans="1:8" ht="15" customHeight="1" x14ac:dyDescent="0.25">
      <c r="A50" s="34" t="s">
        <v>1209</v>
      </c>
      <c r="B50" s="34"/>
      <c r="C50" s="35">
        <v>0</v>
      </c>
      <c r="D50" s="36">
        <v>250000</v>
      </c>
      <c r="E50" s="36">
        <v>0</v>
      </c>
      <c r="F50" s="36">
        <v>750000</v>
      </c>
      <c r="G50" s="36">
        <v>0</v>
      </c>
      <c r="H50" s="36">
        <v>0</v>
      </c>
    </row>
    <row r="51" spans="1:8" ht="15" customHeight="1" x14ac:dyDescent="0.25">
      <c r="A51" s="16" t="s">
        <v>1172</v>
      </c>
      <c r="B51" s="16"/>
      <c r="C51" s="18">
        <v>500000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</row>
    <row r="52" spans="1:8" ht="15" customHeight="1" x14ac:dyDescent="0.25">
      <c r="A52" s="34" t="s">
        <v>1210</v>
      </c>
      <c r="B52" s="34"/>
      <c r="C52" s="35">
        <v>0</v>
      </c>
      <c r="D52" s="36">
        <v>650000</v>
      </c>
      <c r="E52" s="36">
        <v>0</v>
      </c>
      <c r="F52" s="36">
        <v>0</v>
      </c>
      <c r="G52" s="36">
        <v>4000000</v>
      </c>
      <c r="H52" s="36">
        <v>0</v>
      </c>
    </row>
    <row r="53" spans="1:8" ht="15" customHeight="1" x14ac:dyDescent="0.25">
      <c r="A53" s="16" t="s">
        <v>1211</v>
      </c>
      <c r="B53" s="16"/>
      <c r="C53" s="18">
        <v>0</v>
      </c>
      <c r="D53" s="19">
        <v>2800000</v>
      </c>
      <c r="E53" s="19">
        <v>0</v>
      </c>
      <c r="F53" s="19">
        <v>0</v>
      </c>
      <c r="G53" s="19">
        <v>3250000</v>
      </c>
      <c r="H53" s="19">
        <v>0</v>
      </c>
    </row>
    <row r="54" spans="1:8" ht="15" customHeight="1" x14ac:dyDescent="0.25">
      <c r="A54" s="34" t="s">
        <v>1212</v>
      </c>
      <c r="B54" s="34"/>
      <c r="C54" s="35">
        <v>0</v>
      </c>
      <c r="D54" s="36">
        <v>0</v>
      </c>
      <c r="E54" s="36">
        <v>0</v>
      </c>
      <c r="F54" s="36">
        <v>250000</v>
      </c>
      <c r="G54" s="36">
        <v>0</v>
      </c>
      <c r="H54" s="36">
        <v>0</v>
      </c>
    </row>
    <row r="55" spans="1:8" ht="15" customHeight="1" x14ac:dyDescent="0.25">
      <c r="A55" s="16" t="s">
        <v>1213</v>
      </c>
      <c r="B55" s="16"/>
      <c r="C55" s="18">
        <v>0</v>
      </c>
      <c r="D55" s="19">
        <v>0</v>
      </c>
      <c r="E55" s="19">
        <v>250000</v>
      </c>
      <c r="F55" s="19">
        <v>0</v>
      </c>
      <c r="G55" s="19">
        <v>0</v>
      </c>
      <c r="H55" s="19">
        <v>0</v>
      </c>
    </row>
    <row r="56" spans="1:8" ht="15" customHeight="1" x14ac:dyDescent="0.25">
      <c r="A56" s="34" t="s">
        <v>1214</v>
      </c>
      <c r="B56" s="34"/>
      <c r="C56" s="35">
        <v>0</v>
      </c>
      <c r="D56" s="36">
        <v>150000</v>
      </c>
      <c r="E56" s="36">
        <v>0</v>
      </c>
      <c r="F56" s="36">
        <v>75000</v>
      </c>
      <c r="G56" s="36">
        <v>0</v>
      </c>
      <c r="H56" s="36">
        <v>0</v>
      </c>
    </row>
    <row r="57" spans="1:8" ht="15" customHeight="1" x14ac:dyDescent="0.25">
      <c r="A57" s="16" t="s">
        <v>1215</v>
      </c>
      <c r="B57" s="16"/>
      <c r="C57" s="18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</row>
    <row r="58" spans="1:8" ht="15" customHeight="1" x14ac:dyDescent="0.25">
      <c r="A58" s="27" t="s">
        <v>1173</v>
      </c>
      <c r="B58" s="27"/>
      <c r="C58" s="29">
        <v>0</v>
      </c>
      <c r="D58" s="29">
        <v>550000</v>
      </c>
      <c r="E58" s="29">
        <v>225000</v>
      </c>
      <c r="F58" s="29">
        <v>450000</v>
      </c>
      <c r="G58" s="29">
        <v>550000</v>
      </c>
      <c r="H58" s="29">
        <v>550000</v>
      </c>
    </row>
    <row r="59" spans="1:8" ht="15" customHeight="1" x14ac:dyDescent="0.25">
      <c r="A59" s="10"/>
      <c r="B59" s="10"/>
      <c r="C59" s="12"/>
      <c r="D59" s="12"/>
      <c r="E59" s="12"/>
      <c r="F59" s="12"/>
      <c r="G59" s="12"/>
      <c r="H59" s="12"/>
    </row>
    <row r="60" spans="1:8" ht="15" customHeight="1" x14ac:dyDescent="0.25">
      <c r="A60" s="9" t="s">
        <v>1118</v>
      </c>
      <c r="B60" s="9"/>
      <c r="C60" s="33">
        <f t="shared" ref="C60:H60" si="2">SUM(C43:C58)</f>
        <v>1611200</v>
      </c>
      <c r="D60" s="33">
        <f t="shared" si="2"/>
        <v>5100000</v>
      </c>
      <c r="E60" s="33">
        <f t="shared" si="2"/>
        <v>875000</v>
      </c>
      <c r="F60" s="33">
        <f t="shared" si="2"/>
        <v>3575000</v>
      </c>
      <c r="G60" s="33">
        <f t="shared" si="2"/>
        <v>7800000</v>
      </c>
      <c r="H60" s="33">
        <f t="shared" si="2"/>
        <v>550000</v>
      </c>
    </row>
    <row r="61" spans="1:8" ht="15" customHeight="1" x14ac:dyDescent="0.25">
      <c r="C61" s="21"/>
      <c r="D61" s="21"/>
      <c r="E61" s="21"/>
      <c r="F61" s="21"/>
      <c r="G61" s="21"/>
      <c r="H61" s="21"/>
    </row>
    <row r="62" spans="1:8" ht="15" customHeight="1" x14ac:dyDescent="0.25">
      <c r="A62" s="144" t="s">
        <v>1174</v>
      </c>
      <c r="B62" s="37"/>
      <c r="C62" s="134" t="s">
        <v>4</v>
      </c>
      <c r="D62" s="134" t="s">
        <v>10</v>
      </c>
      <c r="E62" s="134" t="s">
        <v>1160</v>
      </c>
      <c r="F62" s="134" t="s">
        <v>1161</v>
      </c>
      <c r="G62" s="134" t="s">
        <v>1162</v>
      </c>
      <c r="H62" s="134" t="s">
        <v>1163</v>
      </c>
    </row>
    <row r="63" spans="1:8" ht="15" customHeight="1" x14ac:dyDescent="0.25">
      <c r="A63" s="146"/>
      <c r="B63" s="38"/>
      <c r="C63" s="135"/>
      <c r="D63" s="135"/>
      <c r="E63" s="135"/>
      <c r="F63" s="135"/>
      <c r="G63" s="135"/>
      <c r="H63" s="135"/>
    </row>
    <row r="64" spans="1:8" ht="15" customHeight="1" x14ac:dyDescent="0.25">
      <c r="A64" s="10" t="s">
        <v>1175</v>
      </c>
      <c r="B64" s="10"/>
      <c r="C64" s="14">
        <v>750000</v>
      </c>
      <c r="D64" s="17">
        <v>820000</v>
      </c>
      <c r="E64" s="19">
        <v>820000</v>
      </c>
      <c r="F64" s="19">
        <v>850000</v>
      </c>
      <c r="G64" s="19">
        <v>850000</v>
      </c>
      <c r="H64" s="19">
        <v>850000</v>
      </c>
    </row>
    <row r="65" spans="1:8" ht="15" customHeight="1" x14ac:dyDescent="0.25">
      <c r="A65" s="27" t="s">
        <v>1176</v>
      </c>
      <c r="B65" s="27"/>
      <c r="C65" s="35">
        <v>2100000</v>
      </c>
      <c r="D65" s="36">
        <v>3100000</v>
      </c>
      <c r="E65" s="36">
        <v>3100000</v>
      </c>
      <c r="F65" s="36">
        <v>3100000</v>
      </c>
      <c r="G65" s="36">
        <v>3100000</v>
      </c>
      <c r="H65" s="36">
        <v>3100000</v>
      </c>
    </row>
    <row r="66" spans="1:8" ht="15" customHeight="1" x14ac:dyDescent="0.25">
      <c r="A66" s="10"/>
      <c r="B66" s="10"/>
      <c r="C66" s="22"/>
      <c r="D66" s="23"/>
      <c r="E66" s="24"/>
      <c r="F66" s="24"/>
      <c r="G66" s="24"/>
      <c r="H66" s="24"/>
    </row>
    <row r="67" spans="1:8" ht="15" customHeight="1" x14ac:dyDescent="0.25">
      <c r="A67" s="9" t="s">
        <v>1118</v>
      </c>
      <c r="B67" s="9"/>
      <c r="C67" s="25">
        <f t="shared" ref="C67:H67" si="3">SUM(C64:C65)</f>
        <v>2850000</v>
      </c>
      <c r="D67" s="25">
        <f t="shared" si="3"/>
        <v>3920000</v>
      </c>
      <c r="E67" s="25">
        <f t="shared" si="3"/>
        <v>3920000</v>
      </c>
      <c r="F67" s="25">
        <f t="shared" si="3"/>
        <v>3950000</v>
      </c>
      <c r="G67" s="25">
        <f t="shared" si="3"/>
        <v>3950000</v>
      </c>
      <c r="H67" s="25">
        <f t="shared" si="3"/>
        <v>3950000</v>
      </c>
    </row>
    <row r="68" spans="1:8" ht="15" customHeight="1" x14ac:dyDescent="0.25">
      <c r="A68" s="9"/>
      <c r="B68" s="9"/>
      <c r="C68" s="25"/>
      <c r="D68" s="25"/>
      <c r="E68" s="25"/>
      <c r="F68" s="25"/>
      <c r="G68" s="25"/>
      <c r="H68" s="25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</sheetData>
  <mergeCells count="31">
    <mergeCell ref="H62:H63"/>
    <mergeCell ref="B4:B5"/>
    <mergeCell ref="A62:A63"/>
    <mergeCell ref="C62:C63"/>
    <mergeCell ref="D62:D63"/>
    <mergeCell ref="E62:E63"/>
    <mergeCell ref="F62:F63"/>
    <mergeCell ref="G62:G63"/>
    <mergeCell ref="H20:H21"/>
    <mergeCell ref="A41:A42"/>
    <mergeCell ref="C41:C42"/>
    <mergeCell ref="D41:D42"/>
    <mergeCell ref="E41:E42"/>
    <mergeCell ref="F41:F42"/>
    <mergeCell ref="G41:G42"/>
    <mergeCell ref="H41:H42"/>
    <mergeCell ref="G20:G21"/>
    <mergeCell ref="A1:H1"/>
    <mergeCell ref="A2:H2"/>
    <mergeCell ref="A4:A5"/>
    <mergeCell ref="C4:C5"/>
    <mergeCell ref="D4:D5"/>
    <mergeCell ref="E4:E5"/>
    <mergeCell ref="F4:F5"/>
    <mergeCell ref="G4:G5"/>
    <mergeCell ref="H4:H5"/>
    <mergeCell ref="A20:A21"/>
    <mergeCell ref="C20:C21"/>
    <mergeCell ref="D20:D21"/>
    <mergeCell ref="E20:E21"/>
    <mergeCell ref="F20:F21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72BA-8B48-49C1-8F4A-1FFE993B7C43}">
  <dimension ref="A1:H42"/>
  <sheetViews>
    <sheetView showGridLines="0" workbookViewId="0">
      <selection activeCell="P27" sqref="P27:P34"/>
    </sheetView>
  </sheetViews>
  <sheetFormatPr defaultRowHeight="15" x14ac:dyDescent="0.25"/>
  <cols>
    <col min="1" max="1" width="51.7109375" bestFit="1" customWidth="1"/>
    <col min="2" max="2" width="10.7109375" customWidth="1"/>
    <col min="3" max="3" width="12.7109375" customWidth="1"/>
    <col min="4" max="6" width="13.140625" bestFit="1" customWidth="1"/>
    <col min="7" max="8" width="13.140625" customWidth="1"/>
    <col min="16" max="16" width="12.7109375" customWidth="1"/>
  </cols>
  <sheetData>
    <row r="1" spans="1:8" ht="15" customHeight="1" x14ac:dyDescent="0.25">
      <c r="A1" s="136" t="s">
        <v>1216</v>
      </c>
      <c r="B1" s="136"/>
      <c r="C1" s="136"/>
      <c r="D1" s="137"/>
      <c r="E1" s="137"/>
      <c r="F1" s="137"/>
      <c r="G1" s="137"/>
      <c r="H1" s="137"/>
    </row>
    <row r="2" spans="1:8" ht="15" customHeight="1" x14ac:dyDescent="0.25">
      <c r="A2" s="136" t="s">
        <v>1220</v>
      </c>
      <c r="B2" s="136"/>
      <c r="C2" s="136"/>
      <c r="D2" s="137"/>
      <c r="E2" s="137"/>
      <c r="F2" s="137"/>
      <c r="G2" s="137"/>
      <c r="H2" s="137"/>
    </row>
    <row r="3" spans="1:8" ht="15" customHeight="1" x14ac:dyDescent="0.25">
      <c r="A3" s="9"/>
      <c r="B3" s="9"/>
      <c r="C3" s="9"/>
      <c r="D3" s="9"/>
      <c r="E3" s="9"/>
    </row>
    <row r="4" spans="1:8" ht="15" customHeight="1" x14ac:dyDescent="0.25">
      <c r="A4" s="138" t="s">
        <v>1218</v>
      </c>
      <c r="B4" s="144" t="s">
        <v>1179</v>
      </c>
      <c r="C4" s="149" t="s">
        <v>1217</v>
      </c>
      <c r="D4" s="140" t="s">
        <v>10</v>
      </c>
      <c r="E4" s="140" t="s">
        <v>1160</v>
      </c>
      <c r="F4" s="140" t="s">
        <v>1161</v>
      </c>
      <c r="G4" s="140" t="s">
        <v>1162</v>
      </c>
      <c r="H4" s="142" t="s">
        <v>1163</v>
      </c>
    </row>
    <row r="5" spans="1:8" ht="15" customHeight="1" x14ac:dyDescent="0.25">
      <c r="A5" s="139"/>
      <c r="B5" s="145"/>
      <c r="C5" s="150"/>
      <c r="D5" s="141"/>
      <c r="E5" s="141"/>
      <c r="F5" s="141"/>
      <c r="G5" s="141"/>
      <c r="H5" s="143"/>
    </row>
    <row r="6" spans="1:8" ht="15" customHeight="1" x14ac:dyDescent="0.25">
      <c r="A6" s="10" t="s">
        <v>1221</v>
      </c>
      <c r="B6" s="26" t="s">
        <v>1178</v>
      </c>
      <c r="C6" s="39">
        <v>80500</v>
      </c>
      <c r="D6" s="12">
        <v>115000</v>
      </c>
      <c r="E6" s="12">
        <v>0</v>
      </c>
      <c r="F6" s="12">
        <v>56500</v>
      </c>
      <c r="G6" s="12">
        <v>0</v>
      </c>
      <c r="H6" s="12">
        <v>0</v>
      </c>
    </row>
    <row r="7" spans="1:8" ht="15" customHeight="1" x14ac:dyDescent="0.25">
      <c r="A7" s="27" t="s">
        <v>1254</v>
      </c>
      <c r="B7" s="28" t="s">
        <v>1178</v>
      </c>
      <c r="C7" s="40">
        <v>65000</v>
      </c>
      <c r="D7" s="29">
        <v>88000</v>
      </c>
      <c r="E7" s="29">
        <v>0</v>
      </c>
      <c r="F7" s="29">
        <v>0</v>
      </c>
      <c r="G7" s="29">
        <v>0</v>
      </c>
      <c r="H7" s="29">
        <v>0</v>
      </c>
    </row>
    <row r="8" spans="1:8" ht="15" customHeight="1" x14ac:dyDescent="0.25">
      <c r="A8" s="10" t="s">
        <v>1257</v>
      </c>
      <c r="B8" s="26" t="s">
        <v>1219</v>
      </c>
      <c r="C8" s="39">
        <v>43500</v>
      </c>
      <c r="D8" s="12">
        <v>0</v>
      </c>
      <c r="E8" s="12">
        <v>0</v>
      </c>
      <c r="F8" s="12">
        <v>56500</v>
      </c>
      <c r="G8" s="12">
        <v>0</v>
      </c>
      <c r="H8" s="12">
        <v>0</v>
      </c>
    </row>
    <row r="9" spans="1:8" ht="15" customHeight="1" x14ac:dyDescent="0.25">
      <c r="A9" s="27" t="s">
        <v>1222</v>
      </c>
      <c r="B9" s="28" t="s">
        <v>1223</v>
      </c>
      <c r="C9" s="40">
        <v>56385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</row>
    <row r="10" spans="1:8" ht="15" customHeight="1" x14ac:dyDescent="0.25">
      <c r="A10" s="10" t="s">
        <v>1255</v>
      </c>
      <c r="B10" s="26" t="s">
        <v>1223</v>
      </c>
      <c r="C10" s="39">
        <v>56385</v>
      </c>
      <c r="D10" s="13">
        <v>54000</v>
      </c>
      <c r="E10" s="13">
        <v>54000</v>
      </c>
      <c r="F10" s="12">
        <v>54000</v>
      </c>
      <c r="G10" s="12">
        <v>0</v>
      </c>
      <c r="H10" s="12">
        <v>0</v>
      </c>
    </row>
    <row r="11" spans="1:8" ht="15" customHeight="1" x14ac:dyDescent="0.25">
      <c r="A11" s="27" t="s">
        <v>1256</v>
      </c>
      <c r="B11" s="28" t="s">
        <v>1224</v>
      </c>
      <c r="C11" s="40">
        <v>62500</v>
      </c>
      <c r="D11" s="29">
        <v>0</v>
      </c>
      <c r="E11" s="29">
        <v>122000</v>
      </c>
      <c r="F11" s="29">
        <v>0</v>
      </c>
      <c r="G11" s="29">
        <v>0</v>
      </c>
      <c r="H11" s="29">
        <v>0</v>
      </c>
    </row>
    <row r="12" spans="1:8" ht="15" customHeight="1" x14ac:dyDescent="0.25">
      <c r="A12" s="10" t="s">
        <v>1225</v>
      </c>
      <c r="B12" s="26" t="s">
        <v>1226</v>
      </c>
      <c r="C12" s="39">
        <v>90000</v>
      </c>
      <c r="D12" s="12">
        <v>0</v>
      </c>
      <c r="E12" s="12">
        <v>117000</v>
      </c>
      <c r="F12" s="12">
        <v>0</v>
      </c>
      <c r="G12" s="12">
        <v>0</v>
      </c>
      <c r="H12" s="12">
        <v>0</v>
      </c>
    </row>
    <row r="13" spans="1:8" ht="15" customHeight="1" x14ac:dyDescent="0.25">
      <c r="A13" s="27" t="s">
        <v>1227</v>
      </c>
      <c r="B13" s="28" t="s">
        <v>1226</v>
      </c>
      <c r="C13" s="40">
        <v>65000</v>
      </c>
      <c r="D13" s="29">
        <v>0</v>
      </c>
      <c r="E13" s="29">
        <v>84500</v>
      </c>
      <c r="F13" s="29">
        <v>0</v>
      </c>
      <c r="G13" s="29">
        <v>0</v>
      </c>
      <c r="H13" s="29">
        <v>0</v>
      </c>
    </row>
    <row r="14" spans="1:8" ht="15" customHeight="1" x14ac:dyDescent="0.25">
      <c r="A14" s="10" t="s">
        <v>1228</v>
      </c>
      <c r="B14" s="26" t="s">
        <v>1226</v>
      </c>
      <c r="C14" s="39">
        <v>50000</v>
      </c>
      <c r="D14" s="15">
        <v>0</v>
      </c>
      <c r="E14" s="15">
        <v>65000</v>
      </c>
      <c r="F14" s="15">
        <v>0</v>
      </c>
      <c r="G14" s="15">
        <v>0</v>
      </c>
      <c r="H14" s="15">
        <v>0</v>
      </c>
    </row>
    <row r="15" spans="1:8" ht="15" customHeight="1" x14ac:dyDescent="0.25">
      <c r="A15" s="27" t="s">
        <v>1229</v>
      </c>
      <c r="B15" s="28" t="s">
        <v>1226</v>
      </c>
      <c r="C15" s="40">
        <v>75000</v>
      </c>
      <c r="D15" s="30">
        <v>0</v>
      </c>
      <c r="E15" s="30">
        <v>0</v>
      </c>
      <c r="F15" s="30">
        <v>97500</v>
      </c>
      <c r="G15" s="30">
        <v>0</v>
      </c>
      <c r="H15" s="30">
        <v>0</v>
      </c>
    </row>
    <row r="16" spans="1:8" ht="15" customHeight="1" x14ac:dyDescent="0.25">
      <c r="A16" s="10" t="s">
        <v>1230</v>
      </c>
      <c r="B16" s="26" t="s">
        <v>1226</v>
      </c>
      <c r="C16" s="39">
        <v>60000</v>
      </c>
      <c r="D16" s="11">
        <v>0</v>
      </c>
      <c r="E16" s="11">
        <v>0</v>
      </c>
      <c r="F16" s="11">
        <v>78000</v>
      </c>
      <c r="G16" s="11">
        <v>0</v>
      </c>
      <c r="H16" s="11">
        <v>0</v>
      </c>
    </row>
    <row r="17" spans="1:8" ht="15" customHeight="1" x14ac:dyDescent="0.25">
      <c r="A17" s="10"/>
      <c r="B17" s="26"/>
      <c r="C17" s="39"/>
      <c r="D17" s="11"/>
      <c r="E17" s="11"/>
      <c r="F17" s="11"/>
      <c r="G17" s="11"/>
      <c r="H17" s="11"/>
    </row>
    <row r="18" spans="1:8" ht="15" customHeight="1" x14ac:dyDescent="0.25">
      <c r="A18" s="9" t="s">
        <v>1118</v>
      </c>
      <c r="B18" s="9"/>
      <c r="C18" s="41"/>
      <c r="D18" s="32">
        <f>SUM(D6:D16)</f>
        <v>257000</v>
      </c>
      <c r="E18" s="32">
        <f>SUM(E6:E16)</f>
        <v>442500</v>
      </c>
      <c r="F18" s="32">
        <f>SUM(F6:F16)</f>
        <v>342500</v>
      </c>
      <c r="G18" s="32">
        <f>SUM(G6:G16)</f>
        <v>0</v>
      </c>
      <c r="H18" s="32">
        <f>SUM(H6:H16)</f>
        <v>0</v>
      </c>
    </row>
    <row r="19" spans="1:8" ht="15" customHeight="1" x14ac:dyDescent="0.25">
      <c r="A19" s="9"/>
      <c r="B19" s="9"/>
      <c r="C19" s="9"/>
      <c r="D19" s="31"/>
      <c r="E19" s="31"/>
      <c r="F19" s="31"/>
      <c r="G19" s="31"/>
      <c r="H19" s="31"/>
    </row>
    <row r="20" spans="1:8" ht="15" customHeight="1" x14ac:dyDescent="0.25">
      <c r="A20" s="138" t="s">
        <v>1231</v>
      </c>
      <c r="B20" s="149" t="s">
        <v>1179</v>
      </c>
      <c r="C20" s="149" t="s">
        <v>1217</v>
      </c>
      <c r="D20" s="134" t="s">
        <v>10</v>
      </c>
      <c r="E20" s="134" t="s">
        <v>1160</v>
      </c>
      <c r="F20" s="134" t="s">
        <v>1161</v>
      </c>
      <c r="G20" s="134" t="s">
        <v>1162</v>
      </c>
      <c r="H20" s="147" t="s">
        <v>1163</v>
      </c>
    </row>
    <row r="21" spans="1:8" ht="15" customHeight="1" x14ac:dyDescent="0.25">
      <c r="A21" s="139"/>
      <c r="B21" s="150"/>
      <c r="C21" s="150"/>
      <c r="D21" s="135"/>
      <c r="E21" s="135"/>
      <c r="F21" s="135"/>
      <c r="G21" s="135"/>
      <c r="H21" s="148"/>
    </row>
    <row r="22" spans="1:8" ht="15" customHeight="1" x14ac:dyDescent="0.25">
      <c r="A22" s="34" t="s">
        <v>1258</v>
      </c>
      <c r="B22" s="45" t="s">
        <v>1178</v>
      </c>
      <c r="C22" s="43">
        <v>91500</v>
      </c>
      <c r="D22" s="36">
        <v>127500</v>
      </c>
      <c r="E22" s="36">
        <v>0</v>
      </c>
      <c r="F22" s="36">
        <v>0</v>
      </c>
      <c r="G22" s="36">
        <v>0</v>
      </c>
      <c r="H22" s="36">
        <v>0</v>
      </c>
    </row>
    <row r="23" spans="1:8" ht="15" customHeight="1" x14ac:dyDescent="0.25">
      <c r="A23" s="16" t="s">
        <v>1232</v>
      </c>
      <c r="B23" s="44" t="s">
        <v>1233</v>
      </c>
      <c r="C23" s="42">
        <v>46000</v>
      </c>
      <c r="D23" s="17">
        <v>66000</v>
      </c>
      <c r="E23" s="17">
        <v>0</v>
      </c>
      <c r="F23" s="17">
        <v>0</v>
      </c>
      <c r="G23" s="17">
        <v>0</v>
      </c>
      <c r="H23" s="17">
        <v>0</v>
      </c>
    </row>
    <row r="24" spans="1:8" ht="15" customHeight="1" x14ac:dyDescent="0.25">
      <c r="A24" s="34" t="s">
        <v>1270</v>
      </c>
      <c r="B24" s="45" t="s">
        <v>1234</v>
      </c>
      <c r="C24" s="43">
        <v>41000</v>
      </c>
      <c r="D24" s="36">
        <v>34500</v>
      </c>
      <c r="E24" s="36">
        <v>0</v>
      </c>
      <c r="F24" s="36">
        <v>0</v>
      </c>
      <c r="G24" s="36">
        <v>0</v>
      </c>
      <c r="H24" s="36">
        <v>0</v>
      </c>
    </row>
    <row r="25" spans="1:8" ht="15" customHeight="1" x14ac:dyDescent="0.25">
      <c r="A25" s="16" t="s">
        <v>1269</v>
      </c>
      <c r="B25" s="44" t="s">
        <v>1233</v>
      </c>
      <c r="C25" s="42">
        <v>60000</v>
      </c>
      <c r="D25" s="17">
        <v>13000</v>
      </c>
      <c r="E25" s="17">
        <v>0</v>
      </c>
      <c r="F25" s="17">
        <v>85500</v>
      </c>
      <c r="G25" s="17">
        <v>0</v>
      </c>
      <c r="H25" s="17">
        <v>0</v>
      </c>
    </row>
    <row r="26" spans="1:8" ht="15" customHeight="1" x14ac:dyDescent="0.25">
      <c r="A26" s="34" t="s">
        <v>1271</v>
      </c>
      <c r="B26" s="45" t="s">
        <v>1234</v>
      </c>
      <c r="C26" s="43">
        <v>52000</v>
      </c>
      <c r="D26" s="36">
        <v>12000</v>
      </c>
      <c r="E26" s="36">
        <v>0</v>
      </c>
      <c r="F26" s="36">
        <v>0</v>
      </c>
      <c r="G26" s="36">
        <v>0</v>
      </c>
      <c r="H26" s="36">
        <v>0</v>
      </c>
    </row>
    <row r="27" spans="1:8" ht="15" customHeight="1" x14ac:dyDescent="0.25">
      <c r="A27" s="16" t="s">
        <v>1272</v>
      </c>
      <c r="B27" s="44" t="s">
        <v>1261</v>
      </c>
      <c r="C27" s="42">
        <v>58000</v>
      </c>
      <c r="D27" s="17">
        <v>5000</v>
      </c>
      <c r="E27" s="17">
        <v>0</v>
      </c>
      <c r="F27" s="17">
        <v>0</v>
      </c>
      <c r="G27" s="17">
        <v>0</v>
      </c>
      <c r="H27" s="17">
        <v>0</v>
      </c>
    </row>
    <row r="28" spans="1:8" ht="15" customHeight="1" x14ac:dyDescent="0.25">
      <c r="A28" s="34" t="s">
        <v>1259</v>
      </c>
      <c r="B28" s="45" t="s">
        <v>1233</v>
      </c>
      <c r="C28" s="43">
        <v>53000</v>
      </c>
      <c r="D28" s="36">
        <v>0</v>
      </c>
      <c r="E28" s="36">
        <v>74500</v>
      </c>
      <c r="F28" s="36">
        <v>0</v>
      </c>
      <c r="G28" s="36">
        <v>0</v>
      </c>
      <c r="H28" s="36">
        <v>0</v>
      </c>
    </row>
    <row r="29" spans="1:8" ht="15" customHeight="1" x14ac:dyDescent="0.25">
      <c r="A29" s="16" t="s">
        <v>1260</v>
      </c>
      <c r="B29" s="44" t="s">
        <v>1261</v>
      </c>
      <c r="C29" s="42">
        <v>53000</v>
      </c>
      <c r="D29" s="17">
        <v>0</v>
      </c>
      <c r="E29" s="17">
        <v>74500</v>
      </c>
      <c r="F29" s="17">
        <v>0</v>
      </c>
      <c r="G29" s="17">
        <v>0</v>
      </c>
      <c r="H29" s="17">
        <v>0</v>
      </c>
    </row>
    <row r="30" spans="1:8" ht="15" customHeight="1" x14ac:dyDescent="0.25">
      <c r="A30" s="34" t="s">
        <v>1232</v>
      </c>
      <c r="B30" s="45" t="s">
        <v>1261</v>
      </c>
      <c r="C30" s="43">
        <v>53000</v>
      </c>
      <c r="D30" s="36">
        <v>0</v>
      </c>
      <c r="E30" s="36">
        <v>0</v>
      </c>
      <c r="F30" s="36">
        <v>74500</v>
      </c>
      <c r="G30" s="36">
        <v>0</v>
      </c>
      <c r="H30" s="36">
        <v>0</v>
      </c>
    </row>
    <row r="31" spans="1:8" ht="15" customHeight="1" x14ac:dyDescent="0.25">
      <c r="A31" s="16" t="s">
        <v>1232</v>
      </c>
      <c r="B31" s="44" t="s">
        <v>1233</v>
      </c>
      <c r="C31" s="42">
        <v>46000</v>
      </c>
      <c r="D31" s="17">
        <v>0</v>
      </c>
      <c r="E31" s="17">
        <v>0</v>
      </c>
      <c r="F31" s="17">
        <v>0</v>
      </c>
      <c r="G31" s="17">
        <v>64500</v>
      </c>
      <c r="H31" s="17">
        <v>64500</v>
      </c>
    </row>
    <row r="32" spans="1:8" ht="15" customHeight="1" x14ac:dyDescent="0.25">
      <c r="A32" s="16"/>
      <c r="B32" s="16"/>
      <c r="C32" s="42"/>
      <c r="D32" s="18"/>
      <c r="E32" s="18"/>
      <c r="F32" s="18"/>
      <c r="G32" s="18"/>
      <c r="H32" s="18"/>
    </row>
    <row r="33" spans="1:8" ht="15" customHeight="1" x14ac:dyDescent="0.25">
      <c r="A33" s="9" t="s">
        <v>1118</v>
      </c>
      <c r="B33" s="9"/>
      <c r="C33" s="41"/>
      <c r="D33" s="33">
        <f>SUM(D22:D31)</f>
        <v>258000</v>
      </c>
      <c r="E33" s="33">
        <f>SUM(E22:E31)</f>
        <v>149000</v>
      </c>
      <c r="F33" s="33">
        <f>SUM(F22:F31)</f>
        <v>160000</v>
      </c>
      <c r="G33" s="33">
        <f>SUM(G22:G31)</f>
        <v>64500</v>
      </c>
      <c r="H33" s="33">
        <f>SUM(H22:H31)</f>
        <v>64500</v>
      </c>
    </row>
    <row r="34" spans="1:8" ht="15" customHeight="1" x14ac:dyDescent="0.25">
      <c r="A34" s="9"/>
      <c r="B34" s="9"/>
      <c r="C34" s="9"/>
      <c r="D34" s="20"/>
      <c r="E34" s="20"/>
      <c r="F34" s="21"/>
      <c r="G34" s="21"/>
      <c r="H34" s="21"/>
    </row>
    <row r="35" spans="1:8" ht="15" customHeight="1" x14ac:dyDescent="0.25"/>
    <row r="36" spans="1:8" ht="15" customHeight="1" x14ac:dyDescent="0.25"/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</sheetData>
  <mergeCells count="18">
    <mergeCell ref="A1:H1"/>
    <mergeCell ref="A2:H2"/>
    <mergeCell ref="A4:A5"/>
    <mergeCell ref="B4:B5"/>
    <mergeCell ref="D4:D5"/>
    <mergeCell ref="E4:E5"/>
    <mergeCell ref="F4:F5"/>
    <mergeCell ref="G4:G5"/>
    <mergeCell ref="H4:H5"/>
    <mergeCell ref="C4:C5"/>
    <mergeCell ref="B20:B21"/>
    <mergeCell ref="C20:C21"/>
    <mergeCell ref="H20:H21"/>
    <mergeCell ref="A20:A21"/>
    <mergeCell ref="D20:D21"/>
    <mergeCell ref="E20:E21"/>
    <mergeCell ref="F20:F21"/>
    <mergeCell ref="G20:G21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E3A0-A398-4E10-B677-8CD31A25CD03}">
  <dimension ref="A1:N67"/>
  <sheetViews>
    <sheetView workbookViewId="0">
      <selection activeCell="B1" sqref="B1:B1048576"/>
    </sheetView>
  </sheetViews>
  <sheetFormatPr defaultRowHeight="15" x14ac:dyDescent="0.25"/>
  <cols>
    <col min="1" max="1" width="50.140625" bestFit="1" customWidth="1"/>
    <col min="2" max="6" width="9.140625" style="1"/>
    <col min="9" max="9" width="50.140625" customWidth="1"/>
  </cols>
  <sheetData>
    <row r="1" spans="1:14" s="6" customFormat="1" x14ac:dyDescent="0.25">
      <c r="A1" s="123"/>
      <c r="B1" s="121" t="s">
        <v>1459</v>
      </c>
      <c r="C1" s="121" t="s">
        <v>1460</v>
      </c>
      <c r="D1" s="121" t="s">
        <v>1461</v>
      </c>
      <c r="E1" s="121" t="s">
        <v>1462</v>
      </c>
      <c r="F1" s="121" t="s">
        <v>1463</v>
      </c>
      <c r="I1" s="123"/>
      <c r="J1" s="121" t="s">
        <v>1459</v>
      </c>
      <c r="K1" s="121" t="s">
        <v>1460</v>
      </c>
      <c r="L1" s="121" t="s">
        <v>1461</v>
      </c>
      <c r="M1" s="121" t="s">
        <v>1462</v>
      </c>
      <c r="N1" s="121" t="s">
        <v>1463</v>
      </c>
    </row>
    <row r="2" spans="1:14" s="117" customFormat="1" x14ac:dyDescent="0.25">
      <c r="A2" s="124" t="s">
        <v>1456</v>
      </c>
      <c r="B2" s="122" t="s">
        <v>1457</v>
      </c>
      <c r="C2" s="122" t="s">
        <v>1457</v>
      </c>
      <c r="D2" s="122" t="s">
        <v>1457</v>
      </c>
      <c r="E2" s="122" t="s">
        <v>1457</v>
      </c>
      <c r="F2" s="122" t="s">
        <v>1458</v>
      </c>
      <c r="I2" s="124" t="s">
        <v>1456</v>
      </c>
      <c r="J2" s="122" t="s">
        <v>1457</v>
      </c>
      <c r="K2" s="122" t="s">
        <v>1457</v>
      </c>
      <c r="L2" s="122" t="s">
        <v>1457</v>
      </c>
      <c r="M2" s="122" t="s">
        <v>1457</v>
      </c>
      <c r="N2" s="122" t="s">
        <v>1458</v>
      </c>
    </row>
    <row r="3" spans="1:14" x14ac:dyDescent="0.25">
      <c r="A3" s="118" t="s">
        <v>1464</v>
      </c>
      <c r="B3" s="119">
        <v>1</v>
      </c>
      <c r="C3" s="119">
        <v>1</v>
      </c>
      <c r="D3" s="119">
        <v>1</v>
      </c>
      <c r="E3" s="119">
        <v>1</v>
      </c>
      <c r="F3" s="119">
        <v>1</v>
      </c>
      <c r="I3" s="118" t="s">
        <v>1503</v>
      </c>
      <c r="J3" s="119">
        <v>1</v>
      </c>
      <c r="K3" s="119">
        <v>1</v>
      </c>
      <c r="L3" s="119">
        <v>1</v>
      </c>
      <c r="M3" s="119">
        <v>1</v>
      </c>
      <c r="N3" s="119">
        <v>1</v>
      </c>
    </row>
    <row r="4" spans="1:14" x14ac:dyDescent="0.25">
      <c r="A4" s="118" t="s">
        <v>1474</v>
      </c>
      <c r="B4" s="119">
        <v>0</v>
      </c>
      <c r="C4" s="119">
        <v>0</v>
      </c>
      <c r="D4" s="119">
        <v>0</v>
      </c>
      <c r="E4" s="119">
        <v>0</v>
      </c>
      <c r="F4" s="119">
        <v>1</v>
      </c>
      <c r="I4" s="118" t="s">
        <v>1504</v>
      </c>
      <c r="J4" s="119">
        <v>1</v>
      </c>
      <c r="K4" s="119">
        <v>1</v>
      </c>
      <c r="L4" s="119">
        <v>1</v>
      </c>
      <c r="M4" s="119">
        <v>1</v>
      </c>
      <c r="N4" s="119">
        <v>1</v>
      </c>
    </row>
    <row r="5" spans="1:14" x14ac:dyDescent="0.25">
      <c r="A5" s="118" t="s">
        <v>1468</v>
      </c>
      <c r="B5" s="119">
        <v>1</v>
      </c>
      <c r="C5" s="119">
        <v>1</v>
      </c>
      <c r="D5" s="119">
        <v>1</v>
      </c>
      <c r="E5" s="119">
        <v>1</v>
      </c>
      <c r="F5" s="119">
        <v>1</v>
      </c>
      <c r="I5" s="120" t="s">
        <v>1118</v>
      </c>
      <c r="J5" s="120">
        <f>SUM(J3:J4)</f>
        <v>2</v>
      </c>
      <c r="K5" s="120">
        <f>SUM(K3:K4)</f>
        <v>2</v>
      </c>
      <c r="L5" s="120">
        <f>SUM(L3:L4)</f>
        <v>2</v>
      </c>
      <c r="M5" s="120">
        <f>SUM(M3:M4)</f>
        <v>2</v>
      </c>
      <c r="N5" s="120">
        <f>SUM(N3:N4)</f>
        <v>2</v>
      </c>
    </row>
    <row r="6" spans="1:14" x14ac:dyDescent="0.25">
      <c r="A6" s="118" t="s">
        <v>1469</v>
      </c>
      <c r="B6" s="119">
        <v>0</v>
      </c>
      <c r="C6" s="119">
        <v>1</v>
      </c>
      <c r="D6" s="119">
        <v>1</v>
      </c>
      <c r="E6" s="119">
        <v>1</v>
      </c>
      <c r="F6" s="119">
        <v>1</v>
      </c>
    </row>
    <row r="7" spans="1:14" x14ac:dyDescent="0.25">
      <c r="A7" s="118" t="s">
        <v>1465</v>
      </c>
      <c r="B7" s="119">
        <v>1</v>
      </c>
      <c r="C7" s="119">
        <v>1</v>
      </c>
      <c r="D7" s="119">
        <v>1</v>
      </c>
      <c r="E7" s="119">
        <v>1</v>
      </c>
      <c r="F7" s="119">
        <v>1</v>
      </c>
      <c r="I7" s="123"/>
      <c r="J7" s="121" t="s">
        <v>1459</v>
      </c>
      <c r="K7" s="121" t="s">
        <v>1460</v>
      </c>
      <c r="L7" s="121" t="s">
        <v>1461</v>
      </c>
      <c r="M7" s="121" t="s">
        <v>1462</v>
      </c>
      <c r="N7" s="121" t="s">
        <v>1463</v>
      </c>
    </row>
    <row r="8" spans="1:14" x14ac:dyDescent="0.25">
      <c r="A8" s="118" t="s">
        <v>1466</v>
      </c>
      <c r="B8" s="119">
        <v>1</v>
      </c>
      <c r="C8" s="119">
        <v>1</v>
      </c>
      <c r="D8" s="119">
        <v>1</v>
      </c>
      <c r="E8" s="119">
        <v>1</v>
      </c>
      <c r="F8" s="119">
        <v>1</v>
      </c>
      <c r="I8" s="124" t="s">
        <v>1456</v>
      </c>
      <c r="J8" s="122" t="s">
        <v>1457</v>
      </c>
      <c r="K8" s="122" t="s">
        <v>1457</v>
      </c>
      <c r="L8" s="122" t="s">
        <v>1457</v>
      </c>
      <c r="M8" s="122" t="s">
        <v>1457</v>
      </c>
      <c r="N8" s="122" t="s">
        <v>1458</v>
      </c>
    </row>
    <row r="9" spans="1:14" x14ac:dyDescent="0.25">
      <c r="A9" s="118" t="s">
        <v>1467</v>
      </c>
      <c r="B9" s="119">
        <v>1</v>
      </c>
      <c r="C9" s="119">
        <v>1</v>
      </c>
      <c r="D9" s="119">
        <v>1</v>
      </c>
      <c r="E9" s="119">
        <v>1</v>
      </c>
      <c r="F9" s="119">
        <v>1</v>
      </c>
      <c r="I9" s="118" t="s">
        <v>1505</v>
      </c>
      <c r="J9" s="119">
        <v>1</v>
      </c>
      <c r="K9" s="119">
        <v>1</v>
      </c>
      <c r="L9" s="119">
        <v>1</v>
      </c>
      <c r="M9" s="119">
        <v>1</v>
      </c>
      <c r="N9" s="119">
        <v>1</v>
      </c>
    </row>
    <row r="10" spans="1:14" x14ac:dyDescent="0.25">
      <c r="A10" s="118" t="s">
        <v>1470</v>
      </c>
      <c r="B10" s="119">
        <v>1</v>
      </c>
      <c r="C10" s="119">
        <v>1</v>
      </c>
      <c r="D10" s="119">
        <v>1</v>
      </c>
      <c r="E10" s="119">
        <v>1</v>
      </c>
      <c r="F10" s="119">
        <v>1</v>
      </c>
      <c r="I10" s="118" t="s">
        <v>1258</v>
      </c>
      <c r="J10" s="119">
        <v>0</v>
      </c>
      <c r="K10" s="119">
        <v>0</v>
      </c>
      <c r="L10" s="119">
        <v>0</v>
      </c>
      <c r="M10" s="119">
        <v>0</v>
      </c>
      <c r="N10" s="119">
        <v>1</v>
      </c>
    </row>
    <row r="11" spans="1:14" x14ac:dyDescent="0.25">
      <c r="A11" s="118" t="s">
        <v>1471</v>
      </c>
      <c r="B11" s="119">
        <v>1</v>
      </c>
      <c r="C11" s="119">
        <v>1</v>
      </c>
      <c r="D11" s="119">
        <v>1</v>
      </c>
      <c r="E11" s="119">
        <v>1</v>
      </c>
      <c r="F11" s="119">
        <v>1</v>
      </c>
      <c r="I11" s="118" t="s">
        <v>1506</v>
      </c>
      <c r="J11" s="119">
        <v>1</v>
      </c>
      <c r="K11" s="119">
        <v>1</v>
      </c>
      <c r="L11" s="119">
        <v>1</v>
      </c>
      <c r="M11" s="119">
        <v>1</v>
      </c>
      <c r="N11" s="119">
        <v>1</v>
      </c>
    </row>
    <row r="12" spans="1:14" x14ac:dyDescent="0.25">
      <c r="A12" s="118" t="s">
        <v>1472</v>
      </c>
      <c r="B12" s="119">
        <v>1</v>
      </c>
      <c r="C12" s="119">
        <v>1</v>
      </c>
      <c r="D12" s="119">
        <v>1</v>
      </c>
      <c r="E12" s="119">
        <v>1</v>
      </c>
      <c r="F12" s="119">
        <v>1</v>
      </c>
      <c r="I12" s="118" t="s">
        <v>1507</v>
      </c>
      <c r="J12" s="119">
        <v>1</v>
      </c>
      <c r="K12" s="119">
        <v>1</v>
      </c>
      <c r="L12" s="119">
        <v>1</v>
      </c>
      <c r="M12" s="119">
        <v>1</v>
      </c>
      <c r="N12" s="119">
        <v>1</v>
      </c>
    </row>
    <row r="13" spans="1:14" x14ac:dyDescent="0.25">
      <c r="A13" s="118" t="s">
        <v>1473</v>
      </c>
      <c r="B13" s="119">
        <v>0</v>
      </c>
      <c r="C13" s="119">
        <v>0</v>
      </c>
      <c r="D13" s="119">
        <v>0</v>
      </c>
      <c r="E13" s="119">
        <v>1</v>
      </c>
      <c r="F13" s="119">
        <v>1</v>
      </c>
      <c r="I13" s="118" t="s">
        <v>1508</v>
      </c>
      <c r="J13" s="119">
        <v>1</v>
      </c>
      <c r="K13" s="119">
        <v>1</v>
      </c>
      <c r="L13" s="119">
        <v>1</v>
      </c>
      <c r="M13" s="119">
        <v>1</v>
      </c>
      <c r="N13" s="119">
        <v>1</v>
      </c>
    </row>
    <row r="14" spans="1:14" x14ac:dyDescent="0.25">
      <c r="A14" s="120" t="s">
        <v>1118</v>
      </c>
      <c r="B14" s="120">
        <f>SUM(B3:B13)</f>
        <v>8</v>
      </c>
      <c r="C14" s="120">
        <f>SUM(C3:C13)</f>
        <v>9</v>
      </c>
      <c r="D14" s="120">
        <f>SUM(D3:D13)</f>
        <v>9</v>
      </c>
      <c r="E14" s="120">
        <f>SUM(E3:E13)</f>
        <v>10</v>
      </c>
      <c r="F14" s="120">
        <f>SUM(F3:F13)</f>
        <v>11</v>
      </c>
      <c r="I14" s="118" t="s">
        <v>1510</v>
      </c>
      <c r="J14" s="119">
        <v>1</v>
      </c>
      <c r="K14" s="119">
        <v>1</v>
      </c>
      <c r="L14" s="119">
        <v>1</v>
      </c>
      <c r="M14" s="119">
        <v>0</v>
      </c>
      <c r="N14" s="119">
        <v>0</v>
      </c>
    </row>
    <row r="15" spans="1:14" x14ac:dyDescent="0.25">
      <c r="I15" s="118" t="s">
        <v>1511</v>
      </c>
      <c r="J15" s="119">
        <v>1</v>
      </c>
      <c r="K15" s="119">
        <v>1</v>
      </c>
      <c r="L15" s="119">
        <v>1</v>
      </c>
      <c r="M15" s="119">
        <v>1</v>
      </c>
      <c r="N15" s="119">
        <v>1</v>
      </c>
    </row>
    <row r="16" spans="1:14" x14ac:dyDescent="0.25">
      <c r="A16" s="123"/>
      <c r="B16" s="121" t="s">
        <v>1459</v>
      </c>
      <c r="C16" s="121" t="s">
        <v>1460</v>
      </c>
      <c r="D16" s="121" t="s">
        <v>1461</v>
      </c>
      <c r="E16" s="121" t="s">
        <v>1462</v>
      </c>
      <c r="F16" s="121" t="s">
        <v>1463</v>
      </c>
      <c r="I16" s="118" t="s">
        <v>1509</v>
      </c>
      <c r="J16" s="119">
        <v>2</v>
      </c>
      <c r="K16" s="119">
        <v>2</v>
      </c>
      <c r="L16" s="119">
        <v>2</v>
      </c>
      <c r="M16" s="119">
        <v>2</v>
      </c>
      <c r="N16" s="119">
        <v>2</v>
      </c>
    </row>
    <row r="17" spans="1:14" x14ac:dyDescent="0.25">
      <c r="A17" s="124" t="s">
        <v>1456</v>
      </c>
      <c r="B17" s="122" t="s">
        <v>1457</v>
      </c>
      <c r="C17" s="122" t="s">
        <v>1457</v>
      </c>
      <c r="D17" s="122" t="s">
        <v>1457</v>
      </c>
      <c r="E17" s="122" t="s">
        <v>1457</v>
      </c>
      <c r="F17" s="122" t="s">
        <v>1458</v>
      </c>
      <c r="I17" s="118" t="s">
        <v>1517</v>
      </c>
      <c r="J17" s="119">
        <v>1</v>
      </c>
      <c r="K17" s="119">
        <v>1</v>
      </c>
      <c r="L17" s="119">
        <v>1</v>
      </c>
      <c r="M17" s="119">
        <v>1</v>
      </c>
      <c r="N17" s="119">
        <v>0</v>
      </c>
    </row>
    <row r="18" spans="1:14" x14ac:dyDescent="0.25">
      <c r="A18" s="118" t="s">
        <v>1475</v>
      </c>
      <c r="B18" s="119">
        <v>1</v>
      </c>
      <c r="C18" s="119">
        <v>1</v>
      </c>
      <c r="D18" s="119">
        <v>1</v>
      </c>
      <c r="E18" s="119">
        <v>1</v>
      </c>
      <c r="F18" s="119">
        <v>1</v>
      </c>
      <c r="I18" s="118" t="s">
        <v>1259</v>
      </c>
      <c r="J18" s="119">
        <v>0</v>
      </c>
      <c r="K18" s="119">
        <v>0</v>
      </c>
      <c r="L18" s="119">
        <v>0</v>
      </c>
      <c r="M18" s="119">
        <v>0</v>
      </c>
      <c r="N18" s="119">
        <v>1</v>
      </c>
    </row>
    <row r="19" spans="1:14" x14ac:dyDescent="0.25">
      <c r="A19" s="118" t="s">
        <v>1476</v>
      </c>
      <c r="B19" s="119">
        <v>1</v>
      </c>
      <c r="C19" s="119">
        <v>1</v>
      </c>
      <c r="D19" s="119">
        <v>1</v>
      </c>
      <c r="E19" s="119">
        <v>0</v>
      </c>
      <c r="F19" s="119">
        <v>0</v>
      </c>
      <c r="I19" s="120" t="s">
        <v>1118</v>
      </c>
      <c r="J19" s="120">
        <f>SUM(J9:J18)</f>
        <v>9</v>
      </c>
      <c r="K19" s="120">
        <f>SUM(K9:K18)</f>
        <v>9</v>
      </c>
      <c r="L19" s="120">
        <f>SUM(L9:L18)</f>
        <v>9</v>
      </c>
      <c r="M19" s="120">
        <f>SUM(M9:M18)</f>
        <v>8</v>
      </c>
      <c r="N19" s="120">
        <f>SUM(N9:N18)</f>
        <v>9</v>
      </c>
    </row>
    <row r="20" spans="1:14" x14ac:dyDescent="0.25">
      <c r="A20" s="120" t="s">
        <v>1118</v>
      </c>
      <c r="B20" s="120">
        <f>SUM(B18:B19)</f>
        <v>2</v>
      </c>
      <c r="C20" s="120">
        <f>SUM(C18:C19)</f>
        <v>2</v>
      </c>
      <c r="D20" s="120">
        <f>SUM(D18:D19)</f>
        <v>2</v>
      </c>
      <c r="E20" s="120">
        <f>SUM(E18:E19)</f>
        <v>1</v>
      </c>
      <c r="F20" s="120">
        <f>SUM(F18:F19)</f>
        <v>1</v>
      </c>
    </row>
    <row r="21" spans="1:14" x14ac:dyDescent="0.25">
      <c r="I21" s="123"/>
      <c r="J21" s="121" t="s">
        <v>1459</v>
      </c>
      <c r="K21" s="121" t="s">
        <v>1460</v>
      </c>
      <c r="L21" s="121" t="s">
        <v>1461</v>
      </c>
      <c r="M21" s="121" t="s">
        <v>1462</v>
      </c>
      <c r="N21" s="121" t="s">
        <v>1463</v>
      </c>
    </row>
    <row r="22" spans="1:14" x14ac:dyDescent="0.25">
      <c r="A22" s="123"/>
      <c r="B22" s="121" t="s">
        <v>1459</v>
      </c>
      <c r="C22" s="121" t="s">
        <v>1460</v>
      </c>
      <c r="D22" s="121" t="s">
        <v>1461</v>
      </c>
      <c r="E22" s="121" t="s">
        <v>1462</v>
      </c>
      <c r="F22" s="121" t="s">
        <v>1463</v>
      </c>
      <c r="I22" s="124" t="s">
        <v>1456</v>
      </c>
      <c r="J22" s="122" t="s">
        <v>1457</v>
      </c>
      <c r="K22" s="122" t="s">
        <v>1457</v>
      </c>
      <c r="L22" s="122" t="s">
        <v>1457</v>
      </c>
      <c r="M22" s="122" t="s">
        <v>1457</v>
      </c>
      <c r="N22" s="122" t="s">
        <v>1458</v>
      </c>
    </row>
    <row r="23" spans="1:14" x14ac:dyDescent="0.25">
      <c r="A23" s="124" t="s">
        <v>1456</v>
      </c>
      <c r="B23" s="122" t="s">
        <v>1457</v>
      </c>
      <c r="C23" s="122" t="s">
        <v>1457</v>
      </c>
      <c r="D23" s="122" t="s">
        <v>1457</v>
      </c>
      <c r="E23" s="122" t="s">
        <v>1457</v>
      </c>
      <c r="F23" s="122" t="s">
        <v>1458</v>
      </c>
      <c r="I23" s="118" t="s">
        <v>1512</v>
      </c>
      <c r="J23" s="119">
        <v>1</v>
      </c>
      <c r="K23" s="119">
        <v>1</v>
      </c>
      <c r="L23" s="119">
        <v>1</v>
      </c>
      <c r="M23" s="119">
        <v>1</v>
      </c>
      <c r="N23" s="119">
        <v>1</v>
      </c>
    </row>
    <row r="24" spans="1:14" x14ac:dyDescent="0.25">
      <c r="A24" s="118" t="s">
        <v>1477</v>
      </c>
      <c r="B24" s="119">
        <v>1</v>
      </c>
      <c r="C24" s="119">
        <v>1</v>
      </c>
      <c r="D24" s="119">
        <v>1</v>
      </c>
      <c r="E24" s="119">
        <v>1</v>
      </c>
      <c r="F24" s="119">
        <v>1</v>
      </c>
      <c r="I24" s="118" t="s">
        <v>1513</v>
      </c>
      <c r="J24" s="119">
        <v>4</v>
      </c>
      <c r="K24" s="119">
        <v>4</v>
      </c>
      <c r="L24" s="119">
        <v>4</v>
      </c>
      <c r="M24" s="119">
        <v>6</v>
      </c>
      <c r="N24" s="119">
        <v>7</v>
      </c>
    </row>
    <row r="25" spans="1:14" x14ac:dyDescent="0.25">
      <c r="A25" s="118" t="s">
        <v>1478</v>
      </c>
      <c r="B25" s="119">
        <v>1</v>
      </c>
      <c r="C25" s="119">
        <v>1</v>
      </c>
      <c r="D25" s="119">
        <v>1</v>
      </c>
      <c r="E25" s="119">
        <v>0</v>
      </c>
      <c r="F25" s="119">
        <v>0</v>
      </c>
      <c r="I25" s="118" t="s">
        <v>1260</v>
      </c>
      <c r="J25" s="119">
        <v>1</v>
      </c>
      <c r="K25" s="119">
        <v>1</v>
      </c>
      <c r="L25" s="119">
        <v>1</v>
      </c>
      <c r="M25" s="119">
        <v>0</v>
      </c>
      <c r="N25" s="119">
        <v>0</v>
      </c>
    </row>
    <row r="26" spans="1:14" x14ac:dyDescent="0.25">
      <c r="A26" s="118" t="s">
        <v>1479</v>
      </c>
      <c r="B26" s="119">
        <v>0</v>
      </c>
      <c r="C26" s="119">
        <v>0</v>
      </c>
      <c r="D26" s="119">
        <v>0</v>
      </c>
      <c r="E26" s="119">
        <v>1</v>
      </c>
      <c r="F26" s="119">
        <v>1</v>
      </c>
      <c r="I26" s="118" t="s">
        <v>1514</v>
      </c>
      <c r="J26" s="119">
        <v>1</v>
      </c>
      <c r="K26" s="119">
        <v>1</v>
      </c>
      <c r="L26" s="119">
        <v>1</v>
      </c>
      <c r="M26" s="119">
        <v>0</v>
      </c>
      <c r="N26" s="119">
        <v>0</v>
      </c>
    </row>
    <row r="27" spans="1:14" x14ac:dyDescent="0.25">
      <c r="A27" s="118" t="s">
        <v>1480</v>
      </c>
      <c r="B27" s="119">
        <v>3</v>
      </c>
      <c r="C27" s="119">
        <v>3</v>
      </c>
      <c r="D27" s="119">
        <v>3</v>
      </c>
      <c r="E27" s="119">
        <v>3</v>
      </c>
      <c r="F27" s="119">
        <v>3</v>
      </c>
      <c r="I27" s="118" t="s">
        <v>1515</v>
      </c>
      <c r="J27" s="119">
        <v>0</v>
      </c>
      <c r="K27" s="119">
        <v>0</v>
      </c>
      <c r="L27" s="119">
        <v>0</v>
      </c>
      <c r="M27" s="119">
        <v>1</v>
      </c>
      <c r="N27" s="119">
        <v>1</v>
      </c>
    </row>
    <row r="28" spans="1:14" x14ac:dyDescent="0.25">
      <c r="A28" s="118" t="s">
        <v>1481</v>
      </c>
      <c r="B28" s="119">
        <v>3</v>
      </c>
      <c r="C28" s="119">
        <v>3</v>
      </c>
      <c r="D28" s="119">
        <v>3</v>
      </c>
      <c r="E28" s="119">
        <v>3</v>
      </c>
      <c r="F28" s="119">
        <v>3</v>
      </c>
      <c r="I28" s="118" t="s">
        <v>1232</v>
      </c>
      <c r="J28" s="119">
        <v>0</v>
      </c>
      <c r="K28" s="119">
        <v>1</v>
      </c>
      <c r="L28" s="119">
        <v>1</v>
      </c>
      <c r="M28" s="119">
        <v>1</v>
      </c>
      <c r="N28" s="119">
        <v>1</v>
      </c>
    </row>
    <row r="29" spans="1:14" x14ac:dyDescent="0.25">
      <c r="A29" s="118" t="s">
        <v>1482</v>
      </c>
      <c r="B29" s="119">
        <v>6</v>
      </c>
      <c r="C29" s="119">
        <v>6</v>
      </c>
      <c r="D29" s="119">
        <v>6</v>
      </c>
      <c r="E29" s="119">
        <v>6</v>
      </c>
      <c r="F29" s="119">
        <v>6</v>
      </c>
      <c r="I29" s="118" t="s">
        <v>1516</v>
      </c>
      <c r="J29" s="119">
        <v>1</v>
      </c>
      <c r="K29" s="119">
        <v>1</v>
      </c>
      <c r="L29" s="119">
        <v>1</v>
      </c>
      <c r="M29" s="119">
        <v>1</v>
      </c>
      <c r="N29" s="119">
        <v>1</v>
      </c>
    </row>
    <row r="30" spans="1:14" x14ac:dyDescent="0.25">
      <c r="A30" s="118" t="s">
        <v>1483</v>
      </c>
      <c r="B30" s="119">
        <v>9</v>
      </c>
      <c r="C30" s="119">
        <v>9</v>
      </c>
      <c r="D30" s="119">
        <v>9</v>
      </c>
      <c r="E30" s="119">
        <v>9</v>
      </c>
      <c r="F30" s="119">
        <v>10</v>
      </c>
      <c r="I30" s="118" t="s">
        <v>1517</v>
      </c>
      <c r="J30" s="119">
        <v>0</v>
      </c>
      <c r="K30" s="119">
        <v>0</v>
      </c>
      <c r="L30" s="119">
        <v>0</v>
      </c>
      <c r="M30" s="119">
        <v>0</v>
      </c>
      <c r="N30" s="119">
        <v>1</v>
      </c>
    </row>
    <row r="31" spans="1:14" x14ac:dyDescent="0.25">
      <c r="A31" s="120" t="s">
        <v>1118</v>
      </c>
      <c r="B31" s="120">
        <f>SUM(B24:B30)</f>
        <v>23</v>
      </c>
      <c r="C31" s="120">
        <f>SUM(C24:C30)</f>
        <v>23</v>
      </c>
      <c r="D31" s="120">
        <f>SUM(D24:D30)</f>
        <v>23</v>
      </c>
      <c r="E31" s="120">
        <f>SUM(E24:E30)</f>
        <v>23</v>
      </c>
      <c r="F31" s="120">
        <f>SUM(F24:F30)</f>
        <v>24</v>
      </c>
      <c r="I31" s="120" t="s">
        <v>1118</v>
      </c>
      <c r="J31" s="120">
        <f>SUM(J23:J30)</f>
        <v>8</v>
      </c>
      <c r="K31" s="120">
        <f>SUM(K23:K30)</f>
        <v>9</v>
      </c>
      <c r="L31" s="120">
        <f>SUM(L23:L30)</f>
        <v>9</v>
      </c>
      <c r="M31" s="120">
        <f>SUM(M23:M30)</f>
        <v>10</v>
      </c>
      <c r="N31" s="120">
        <f>SUM(N23:N30)</f>
        <v>12</v>
      </c>
    </row>
    <row r="32" spans="1:14" x14ac:dyDescent="0.25">
      <c r="A32" s="118"/>
      <c r="B32" s="119"/>
      <c r="C32" s="119"/>
      <c r="D32" s="119"/>
      <c r="E32" s="119"/>
      <c r="F32" s="119"/>
    </row>
    <row r="33" spans="1:14" x14ac:dyDescent="0.25">
      <c r="A33" s="118" t="s">
        <v>1484</v>
      </c>
      <c r="B33" s="119">
        <v>3</v>
      </c>
      <c r="C33" s="119">
        <v>0</v>
      </c>
      <c r="D33" s="119">
        <v>0</v>
      </c>
      <c r="E33" s="119">
        <v>3</v>
      </c>
      <c r="F33" s="119">
        <v>2</v>
      </c>
      <c r="I33" s="123"/>
      <c r="J33" s="121" t="s">
        <v>1459</v>
      </c>
      <c r="K33" s="121" t="s">
        <v>1460</v>
      </c>
      <c r="L33" s="121" t="s">
        <v>1461</v>
      </c>
      <c r="M33" s="121" t="s">
        <v>1462</v>
      </c>
      <c r="N33" s="121" t="s">
        <v>1463</v>
      </c>
    </row>
    <row r="34" spans="1:14" x14ac:dyDescent="0.25">
      <c r="I34" s="124" t="s">
        <v>1456</v>
      </c>
      <c r="J34" s="122" t="s">
        <v>1457</v>
      </c>
      <c r="K34" s="122" t="s">
        <v>1457</v>
      </c>
      <c r="L34" s="122" t="s">
        <v>1457</v>
      </c>
      <c r="M34" s="122" t="s">
        <v>1457</v>
      </c>
      <c r="N34" s="122" t="s">
        <v>1458</v>
      </c>
    </row>
    <row r="35" spans="1:14" x14ac:dyDescent="0.25">
      <c r="A35" s="123"/>
      <c r="B35" s="121" t="s">
        <v>1459</v>
      </c>
      <c r="C35" s="121" t="s">
        <v>1460</v>
      </c>
      <c r="D35" s="121" t="s">
        <v>1461</v>
      </c>
      <c r="E35" s="121" t="s">
        <v>1462</v>
      </c>
      <c r="F35" s="121" t="s">
        <v>1463</v>
      </c>
      <c r="I35" s="118" t="s">
        <v>1518</v>
      </c>
      <c r="J35" s="119">
        <v>1</v>
      </c>
      <c r="K35" s="119">
        <v>1</v>
      </c>
      <c r="L35" s="119">
        <v>1</v>
      </c>
      <c r="M35" s="119">
        <v>1</v>
      </c>
      <c r="N35" s="119">
        <v>1</v>
      </c>
    </row>
    <row r="36" spans="1:14" x14ac:dyDescent="0.25">
      <c r="A36" s="124" t="s">
        <v>1456</v>
      </c>
      <c r="B36" s="122" t="s">
        <v>1457</v>
      </c>
      <c r="C36" s="122" t="s">
        <v>1457</v>
      </c>
      <c r="D36" s="122" t="s">
        <v>1457</v>
      </c>
      <c r="E36" s="122" t="s">
        <v>1457</v>
      </c>
      <c r="F36" s="122" t="s">
        <v>1458</v>
      </c>
      <c r="I36" s="118" t="s">
        <v>1519</v>
      </c>
      <c r="J36" s="119">
        <v>2</v>
      </c>
      <c r="K36" s="119">
        <v>2</v>
      </c>
      <c r="L36" s="119">
        <v>2</v>
      </c>
      <c r="M36" s="119">
        <v>1</v>
      </c>
      <c r="N36" s="119">
        <v>2</v>
      </c>
    </row>
    <row r="37" spans="1:14" x14ac:dyDescent="0.25">
      <c r="A37" s="118" t="s">
        <v>1485</v>
      </c>
      <c r="B37" s="119">
        <v>1</v>
      </c>
      <c r="C37" s="119">
        <v>1</v>
      </c>
      <c r="D37" s="119">
        <v>1</v>
      </c>
      <c r="E37" s="119">
        <v>1</v>
      </c>
      <c r="F37" s="119">
        <v>1</v>
      </c>
      <c r="I37" s="118" t="s">
        <v>1520</v>
      </c>
      <c r="J37" s="119">
        <v>9</v>
      </c>
      <c r="K37" s="119">
        <v>9</v>
      </c>
      <c r="L37" s="119">
        <v>10</v>
      </c>
      <c r="M37" s="119">
        <v>11</v>
      </c>
      <c r="N37" s="119">
        <v>10</v>
      </c>
    </row>
    <row r="38" spans="1:14" x14ac:dyDescent="0.25">
      <c r="A38" s="118" t="s">
        <v>1486</v>
      </c>
      <c r="B38" s="119">
        <v>1</v>
      </c>
      <c r="C38" s="119">
        <v>1</v>
      </c>
      <c r="D38" s="119">
        <v>1</v>
      </c>
      <c r="E38" s="119">
        <v>1</v>
      </c>
      <c r="F38" s="119">
        <v>1</v>
      </c>
      <c r="I38" s="118" t="s">
        <v>1521</v>
      </c>
      <c r="J38" s="119">
        <v>1</v>
      </c>
      <c r="K38" s="119">
        <v>1</v>
      </c>
      <c r="L38" s="119">
        <v>1</v>
      </c>
      <c r="M38" s="119">
        <v>0</v>
      </c>
      <c r="N38" s="119">
        <v>0</v>
      </c>
    </row>
    <row r="39" spans="1:14" x14ac:dyDescent="0.25">
      <c r="A39" s="118" t="s">
        <v>1480</v>
      </c>
      <c r="B39" s="119">
        <v>1</v>
      </c>
      <c r="C39" s="119">
        <v>1</v>
      </c>
      <c r="D39" s="119">
        <v>1</v>
      </c>
      <c r="E39" s="119">
        <v>1</v>
      </c>
      <c r="F39" s="119">
        <v>1</v>
      </c>
      <c r="I39" s="118" t="s">
        <v>1510</v>
      </c>
      <c r="J39" s="119">
        <v>0</v>
      </c>
      <c r="K39" s="119">
        <v>0</v>
      </c>
      <c r="L39" s="119">
        <v>0</v>
      </c>
      <c r="M39" s="119">
        <v>1</v>
      </c>
      <c r="N39" s="119">
        <v>1</v>
      </c>
    </row>
    <row r="40" spans="1:14" x14ac:dyDescent="0.25">
      <c r="A40" s="118" t="s">
        <v>1481</v>
      </c>
      <c r="B40" s="119">
        <v>2</v>
      </c>
      <c r="C40" s="119">
        <v>2</v>
      </c>
      <c r="D40" s="119">
        <v>2</v>
      </c>
      <c r="E40" s="119">
        <v>2</v>
      </c>
      <c r="F40" s="119">
        <v>2</v>
      </c>
      <c r="I40" s="118" t="s">
        <v>1259</v>
      </c>
      <c r="J40" s="119">
        <v>0</v>
      </c>
      <c r="K40" s="119">
        <v>1</v>
      </c>
      <c r="L40" s="119">
        <v>1</v>
      </c>
      <c r="M40" s="119">
        <v>1</v>
      </c>
      <c r="N40" s="119">
        <v>0</v>
      </c>
    </row>
    <row r="41" spans="1:14" x14ac:dyDescent="0.25">
      <c r="A41" s="118" t="s">
        <v>1487</v>
      </c>
      <c r="B41" s="119">
        <v>2</v>
      </c>
      <c r="C41" s="119">
        <v>2</v>
      </c>
      <c r="D41" s="119">
        <v>2</v>
      </c>
      <c r="E41" s="119">
        <v>2</v>
      </c>
      <c r="F41" s="119">
        <v>2</v>
      </c>
      <c r="I41" s="118" t="s">
        <v>1522</v>
      </c>
      <c r="J41" s="119">
        <v>0</v>
      </c>
      <c r="K41" s="119">
        <v>0</v>
      </c>
      <c r="L41" s="119">
        <v>0</v>
      </c>
      <c r="M41" s="119">
        <v>0</v>
      </c>
      <c r="N41" s="119">
        <v>1</v>
      </c>
    </row>
    <row r="42" spans="1:14" x14ac:dyDescent="0.25">
      <c r="A42" s="118" t="s">
        <v>1488</v>
      </c>
      <c r="B42" s="119">
        <v>3</v>
      </c>
      <c r="C42" s="119">
        <v>3</v>
      </c>
      <c r="D42" s="119">
        <v>3</v>
      </c>
      <c r="E42" s="119">
        <v>3</v>
      </c>
      <c r="F42" s="119">
        <v>3</v>
      </c>
      <c r="I42" s="120" t="s">
        <v>1118</v>
      </c>
      <c r="J42" s="120">
        <f>SUM(J35:J41)</f>
        <v>13</v>
      </c>
      <c r="K42" s="120">
        <f>SUM(K35:K41)</f>
        <v>14</v>
      </c>
      <c r="L42" s="120">
        <f>SUM(L35:L41)</f>
        <v>15</v>
      </c>
      <c r="M42" s="120">
        <f>SUM(M35:M41)</f>
        <v>15</v>
      </c>
      <c r="N42" s="120">
        <f>SUM(N35:N41)</f>
        <v>15</v>
      </c>
    </row>
    <row r="43" spans="1:14" x14ac:dyDescent="0.25">
      <c r="A43" s="118" t="s">
        <v>1489</v>
      </c>
      <c r="B43" s="119">
        <v>8</v>
      </c>
      <c r="C43" s="119">
        <v>10</v>
      </c>
      <c r="D43" s="119">
        <v>10</v>
      </c>
      <c r="E43" s="119">
        <v>10</v>
      </c>
      <c r="F43" s="119">
        <v>10</v>
      </c>
    </row>
    <row r="44" spans="1:14" x14ac:dyDescent="0.25">
      <c r="A44" s="118" t="s">
        <v>1490</v>
      </c>
      <c r="B44" s="119">
        <v>3</v>
      </c>
      <c r="C44" s="119">
        <v>3</v>
      </c>
      <c r="D44" s="119">
        <v>3</v>
      </c>
      <c r="E44" s="119">
        <v>4</v>
      </c>
      <c r="F44" s="119">
        <v>4</v>
      </c>
      <c r="I44" s="123"/>
      <c r="J44" s="121" t="s">
        <v>1459</v>
      </c>
      <c r="K44" s="121" t="s">
        <v>1460</v>
      </c>
      <c r="L44" s="121" t="s">
        <v>1461</v>
      </c>
      <c r="M44" s="121" t="s">
        <v>1462</v>
      </c>
      <c r="N44" s="121" t="s">
        <v>1463</v>
      </c>
    </row>
    <row r="45" spans="1:14" x14ac:dyDescent="0.25">
      <c r="A45" s="120" t="s">
        <v>1118</v>
      </c>
      <c r="B45" s="120">
        <f>SUM(B37:B44)</f>
        <v>21</v>
      </c>
      <c r="C45" s="120">
        <f>SUM(C37:C44)</f>
        <v>23</v>
      </c>
      <c r="D45" s="120">
        <f>SUM(D37:D44)</f>
        <v>23</v>
      </c>
      <c r="E45" s="120">
        <f>SUM(E37:E44)</f>
        <v>24</v>
      </c>
      <c r="F45" s="120">
        <f>SUM(F37:F44)</f>
        <v>24</v>
      </c>
      <c r="I45" s="124" t="s">
        <v>1456</v>
      </c>
      <c r="J45" s="122" t="s">
        <v>1457</v>
      </c>
      <c r="K45" s="122" t="s">
        <v>1457</v>
      </c>
      <c r="L45" s="122" t="s">
        <v>1457</v>
      </c>
      <c r="M45" s="122" t="s">
        <v>1457</v>
      </c>
      <c r="N45" s="122" t="s">
        <v>1458</v>
      </c>
    </row>
    <row r="46" spans="1:14" x14ac:dyDescent="0.25">
      <c r="I46" s="118" t="s">
        <v>1523</v>
      </c>
      <c r="J46" s="119">
        <v>0</v>
      </c>
      <c r="K46" s="119">
        <v>0</v>
      </c>
      <c r="L46" s="119">
        <v>0</v>
      </c>
      <c r="M46" s="119">
        <v>0</v>
      </c>
      <c r="N46" s="119">
        <v>1</v>
      </c>
    </row>
    <row r="47" spans="1:14" x14ac:dyDescent="0.25">
      <c r="A47" s="123"/>
      <c r="B47" s="121" t="s">
        <v>1459</v>
      </c>
      <c r="C47" s="121" t="s">
        <v>1460</v>
      </c>
      <c r="D47" s="121" t="s">
        <v>1461</v>
      </c>
      <c r="E47" s="121" t="s">
        <v>1462</v>
      </c>
      <c r="F47" s="121" t="s">
        <v>1463</v>
      </c>
      <c r="I47" s="118" t="s">
        <v>1524</v>
      </c>
      <c r="J47" s="119">
        <v>1</v>
      </c>
      <c r="K47" s="119">
        <v>1</v>
      </c>
      <c r="L47" s="119">
        <v>1</v>
      </c>
      <c r="M47" s="119">
        <v>2</v>
      </c>
      <c r="N47" s="119">
        <v>2</v>
      </c>
    </row>
    <row r="48" spans="1:14" x14ac:dyDescent="0.25">
      <c r="A48" s="124" t="s">
        <v>1456</v>
      </c>
      <c r="B48" s="122" t="s">
        <v>1457</v>
      </c>
      <c r="C48" s="122" t="s">
        <v>1457</v>
      </c>
      <c r="D48" s="122" t="s">
        <v>1457</v>
      </c>
      <c r="E48" s="122" t="s">
        <v>1457</v>
      </c>
      <c r="F48" s="122" t="s">
        <v>1458</v>
      </c>
      <c r="I48" s="120" t="s">
        <v>1118</v>
      </c>
      <c r="J48" s="120">
        <f>SUM(J46:J47)</f>
        <v>1</v>
      </c>
      <c r="K48" s="120">
        <f>SUM(K46:K47)</f>
        <v>1</v>
      </c>
      <c r="L48" s="120">
        <f>SUM(L46:L47)</f>
        <v>1</v>
      </c>
      <c r="M48" s="120">
        <f>SUM(M46:M47)</f>
        <v>2</v>
      </c>
      <c r="N48" s="120">
        <f>SUM(N46:N47)</f>
        <v>3</v>
      </c>
    </row>
    <row r="49" spans="1:14" x14ac:dyDescent="0.25">
      <c r="A49" s="118" t="s">
        <v>1491</v>
      </c>
      <c r="B49" s="119">
        <v>1</v>
      </c>
      <c r="C49" s="119">
        <v>1</v>
      </c>
      <c r="D49" s="119">
        <v>1</v>
      </c>
      <c r="E49" s="119">
        <v>1</v>
      </c>
      <c r="F49" s="119">
        <v>1</v>
      </c>
      <c r="I49" s="118"/>
      <c r="J49" s="118"/>
      <c r="K49" s="118"/>
      <c r="L49" s="118"/>
      <c r="M49" s="118"/>
      <c r="N49" s="118"/>
    </row>
    <row r="50" spans="1:14" x14ac:dyDescent="0.25">
      <c r="A50" s="120" t="s">
        <v>1118</v>
      </c>
      <c r="B50" s="120">
        <f>SUM(B49:B49)</f>
        <v>1</v>
      </c>
      <c r="C50" s="120">
        <f>SUM(C49:C49)</f>
        <v>1</v>
      </c>
      <c r="D50" s="120">
        <f>SUM(D49:D49)</f>
        <v>1</v>
      </c>
      <c r="E50" s="120">
        <f>SUM(E49:E49)</f>
        <v>1</v>
      </c>
      <c r="F50" s="120">
        <f>SUM(F49:F49)</f>
        <v>1</v>
      </c>
      <c r="I50" s="118" t="s">
        <v>1525</v>
      </c>
      <c r="J50" s="119">
        <v>1</v>
      </c>
      <c r="K50" s="119">
        <v>2</v>
      </c>
      <c r="L50" s="119">
        <v>2</v>
      </c>
      <c r="M50" s="119">
        <v>1</v>
      </c>
      <c r="N50" s="119">
        <v>0</v>
      </c>
    </row>
    <row r="51" spans="1:14" x14ac:dyDescent="0.25">
      <c r="A51" s="118"/>
      <c r="B51" s="119"/>
      <c r="C51" s="119"/>
      <c r="D51" s="119"/>
      <c r="E51" s="119"/>
      <c r="F51" s="119"/>
    </row>
    <row r="52" spans="1:14" x14ac:dyDescent="0.25">
      <c r="A52" s="118" t="s">
        <v>1492</v>
      </c>
      <c r="B52" s="119">
        <v>1</v>
      </c>
      <c r="C52" s="119">
        <v>1</v>
      </c>
      <c r="D52" s="119">
        <v>1</v>
      </c>
      <c r="E52" s="119">
        <v>1</v>
      </c>
      <c r="F52" s="119">
        <v>1</v>
      </c>
    </row>
    <row r="54" spans="1:14" x14ac:dyDescent="0.25">
      <c r="A54" s="123"/>
      <c r="B54" s="121" t="s">
        <v>1459</v>
      </c>
      <c r="C54" s="121" t="s">
        <v>1460</v>
      </c>
      <c r="D54" s="121" t="s">
        <v>1461</v>
      </c>
      <c r="E54" s="121" t="s">
        <v>1462</v>
      </c>
      <c r="F54" s="121" t="s">
        <v>1463</v>
      </c>
    </row>
    <row r="55" spans="1:14" x14ac:dyDescent="0.25">
      <c r="A55" s="124" t="s">
        <v>1456</v>
      </c>
      <c r="B55" s="122" t="s">
        <v>1457</v>
      </c>
      <c r="C55" s="122" t="s">
        <v>1457</v>
      </c>
      <c r="D55" s="122" t="s">
        <v>1457</v>
      </c>
      <c r="E55" s="122" t="s">
        <v>1457</v>
      </c>
      <c r="F55" s="122" t="s">
        <v>1458</v>
      </c>
    </row>
    <row r="56" spans="1:14" x14ac:dyDescent="0.25">
      <c r="A56" s="118" t="s">
        <v>1493</v>
      </c>
      <c r="B56" s="119">
        <v>1</v>
      </c>
      <c r="C56" s="119">
        <v>1</v>
      </c>
      <c r="D56" s="119">
        <v>1</v>
      </c>
      <c r="E56" s="119">
        <v>1</v>
      </c>
      <c r="F56" s="119">
        <v>1</v>
      </c>
    </row>
    <row r="57" spans="1:14" x14ac:dyDescent="0.25">
      <c r="A57" s="118" t="s">
        <v>1494</v>
      </c>
      <c r="B57" s="119">
        <v>1</v>
      </c>
      <c r="C57" s="119">
        <v>1</v>
      </c>
      <c r="D57" s="119">
        <v>1</v>
      </c>
      <c r="E57" s="119">
        <v>0</v>
      </c>
      <c r="F57" s="119">
        <v>0</v>
      </c>
    </row>
    <row r="58" spans="1:14" x14ac:dyDescent="0.25">
      <c r="A58" s="118" t="s">
        <v>1495</v>
      </c>
      <c r="B58" s="119">
        <v>0</v>
      </c>
      <c r="C58" s="119">
        <v>0</v>
      </c>
      <c r="D58" s="119">
        <v>0</v>
      </c>
      <c r="E58" s="119">
        <v>1</v>
      </c>
      <c r="F58" s="119">
        <v>1</v>
      </c>
    </row>
    <row r="59" spans="1:14" x14ac:dyDescent="0.25">
      <c r="A59" s="118" t="s">
        <v>1496</v>
      </c>
      <c r="B59" s="119">
        <v>0</v>
      </c>
      <c r="C59" s="119">
        <v>1</v>
      </c>
      <c r="D59" s="119">
        <v>1</v>
      </c>
      <c r="E59" s="119">
        <v>0</v>
      </c>
      <c r="F59" s="119">
        <v>0</v>
      </c>
    </row>
    <row r="60" spans="1:14" x14ac:dyDescent="0.25">
      <c r="A60" s="118" t="s">
        <v>1497</v>
      </c>
      <c r="B60" s="119">
        <v>1</v>
      </c>
      <c r="C60" s="119">
        <v>1</v>
      </c>
      <c r="D60" s="119">
        <v>1</v>
      </c>
      <c r="E60" s="119">
        <v>1</v>
      </c>
      <c r="F60" s="119">
        <v>1</v>
      </c>
    </row>
    <row r="61" spans="1:14" x14ac:dyDescent="0.25">
      <c r="A61" s="118" t="s">
        <v>1498</v>
      </c>
      <c r="B61" s="119">
        <v>1</v>
      </c>
      <c r="C61" s="119">
        <v>1</v>
      </c>
      <c r="D61" s="119">
        <v>1</v>
      </c>
      <c r="E61" s="119">
        <v>1</v>
      </c>
      <c r="F61" s="119">
        <v>1</v>
      </c>
    </row>
    <row r="62" spans="1:14" x14ac:dyDescent="0.25">
      <c r="A62" s="118" t="s">
        <v>1499</v>
      </c>
      <c r="B62" s="119">
        <v>0</v>
      </c>
      <c r="C62" s="119">
        <v>0</v>
      </c>
      <c r="D62" s="119">
        <v>0</v>
      </c>
      <c r="E62" s="119">
        <v>1</v>
      </c>
      <c r="F62" s="119">
        <v>1</v>
      </c>
    </row>
    <row r="63" spans="1:14" x14ac:dyDescent="0.25">
      <c r="A63" s="118" t="s">
        <v>1500</v>
      </c>
      <c r="B63" s="119">
        <v>0</v>
      </c>
      <c r="C63" s="119">
        <v>1</v>
      </c>
      <c r="D63" s="119">
        <v>1</v>
      </c>
      <c r="E63" s="119">
        <v>1</v>
      </c>
      <c r="F63" s="119">
        <v>1</v>
      </c>
    </row>
    <row r="64" spans="1:14" x14ac:dyDescent="0.25">
      <c r="A64" s="118" t="s">
        <v>1501</v>
      </c>
      <c r="B64" s="119">
        <v>2</v>
      </c>
      <c r="C64" s="119">
        <v>1</v>
      </c>
      <c r="D64" s="119">
        <v>1</v>
      </c>
      <c r="E64" s="119">
        <v>1</v>
      </c>
      <c r="F64" s="119">
        <v>1</v>
      </c>
    </row>
    <row r="65" spans="1:6" x14ac:dyDescent="0.25">
      <c r="A65" s="118" t="s">
        <v>1502</v>
      </c>
      <c r="B65" s="119">
        <v>0</v>
      </c>
      <c r="C65" s="119">
        <v>0</v>
      </c>
      <c r="D65" s="119">
        <v>0</v>
      </c>
      <c r="E65" s="119">
        <v>1</v>
      </c>
      <c r="F65" s="119">
        <v>1</v>
      </c>
    </row>
    <row r="66" spans="1:6" x14ac:dyDescent="0.25">
      <c r="A66" s="118" t="s">
        <v>1476</v>
      </c>
      <c r="B66" s="119">
        <v>0</v>
      </c>
      <c r="C66" s="119">
        <v>0</v>
      </c>
      <c r="D66" s="119">
        <v>0</v>
      </c>
      <c r="E66" s="119">
        <v>1</v>
      </c>
      <c r="F66" s="119">
        <v>1</v>
      </c>
    </row>
    <row r="67" spans="1:6" x14ac:dyDescent="0.25">
      <c r="A67" s="120" t="s">
        <v>1118</v>
      </c>
      <c r="B67" s="120">
        <f>SUM(B56:B66)</f>
        <v>6</v>
      </c>
      <c r="C67" s="120">
        <f>SUM(C56:C66)</f>
        <v>7</v>
      </c>
      <c r="D67" s="120">
        <f>SUM(D56:D66)</f>
        <v>7</v>
      </c>
      <c r="E67" s="120">
        <f>SUM(E56:E66)</f>
        <v>9</v>
      </c>
      <c r="F67" s="120">
        <f>SUM(F56:F66)</f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9099-37C3-42CD-9C83-711B6A81F22D}">
  <sheetPr>
    <tabColor rgb="FF92D050"/>
  </sheetPr>
  <dimension ref="A1:AJ153"/>
  <sheetViews>
    <sheetView showGridLines="0" zoomScaleNormal="100" workbookViewId="0">
      <pane xSplit="2" ySplit="3" topLeftCell="C25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33" width="70.7109375" style="56" customWidth="1"/>
    <col min="34" max="38" width="9.140625" style="56" customWidth="1"/>
    <col min="39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87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76"/>
      <c r="AF5" s="52"/>
      <c r="AH5" s="52"/>
      <c r="AI5" s="52"/>
      <c r="AJ5" s="52"/>
    </row>
    <row r="6" spans="1:36" x14ac:dyDescent="0.2">
      <c r="A6" s="55" t="s">
        <v>283</v>
      </c>
      <c r="B6" s="56" t="s">
        <v>219</v>
      </c>
      <c r="C6" s="77">
        <v>591361.57999999996</v>
      </c>
      <c r="E6" s="77">
        <v>652265.84</v>
      </c>
      <c r="G6" s="77">
        <v>679609.08</v>
      </c>
      <c r="I6" s="77">
        <v>853350</v>
      </c>
      <c r="K6" s="77">
        <v>820850</v>
      </c>
      <c r="M6" s="77">
        <v>840686</v>
      </c>
      <c r="O6" s="77">
        <f>PRODUCT(M6,0/12)</f>
        <v>0</v>
      </c>
      <c r="Q6" s="77">
        <f t="shared" ref="Q6:Q13" si="0">SUM(M6,O6)</f>
        <v>840686</v>
      </c>
      <c r="S6" s="77">
        <v>960000</v>
      </c>
      <c r="U6" s="77">
        <v>960000</v>
      </c>
      <c r="W6" s="77">
        <v>960000</v>
      </c>
      <c r="Y6" s="77">
        <f>SUM(W6,-I6)</f>
        <v>106650</v>
      </c>
      <c r="Z6" s="57"/>
      <c r="AA6" s="58">
        <f>IF(W6=0,"N/A",PRODUCT(Y6,1/I6))</f>
        <v>0.12497802777289507</v>
      </c>
      <c r="AB6" s="57"/>
      <c r="AC6" s="77">
        <f>SUM(W6,-Q6)</f>
        <v>119314</v>
      </c>
      <c r="AD6" s="57"/>
      <c r="AE6" s="58">
        <f>IF(W6=0,"N/A",PRODUCT(AC6,1/Q6))</f>
        <v>0.14192457112405821</v>
      </c>
      <c r="AF6" s="57"/>
      <c r="AG6" s="56" t="s">
        <v>954</v>
      </c>
      <c r="AH6" s="57"/>
      <c r="AI6" s="57"/>
      <c r="AJ6" s="57"/>
    </row>
    <row r="7" spans="1:36" x14ac:dyDescent="0.2">
      <c r="A7" s="59" t="s">
        <v>284</v>
      </c>
      <c r="B7" s="60" t="s">
        <v>220</v>
      </c>
      <c r="C7" s="79">
        <v>1684.21</v>
      </c>
      <c r="D7" s="80"/>
      <c r="E7" s="79">
        <v>5305.67</v>
      </c>
      <c r="F7" s="80"/>
      <c r="G7" s="79">
        <v>10394.33</v>
      </c>
      <c r="H7" s="79"/>
      <c r="I7" s="79">
        <v>5000</v>
      </c>
      <c r="J7" s="79"/>
      <c r="K7" s="79">
        <v>5000</v>
      </c>
      <c r="L7" s="79"/>
      <c r="M7" s="79">
        <v>191.25</v>
      </c>
      <c r="N7" s="79"/>
      <c r="O7" s="79">
        <f>PRODUCT(M7,0/12)</f>
        <v>0</v>
      </c>
      <c r="P7" s="79"/>
      <c r="Q7" s="79">
        <f t="shared" si="0"/>
        <v>191.25</v>
      </c>
      <c r="R7" s="79"/>
      <c r="S7" s="79">
        <v>1000</v>
      </c>
      <c r="T7" s="79"/>
      <c r="U7" s="79">
        <v>1000</v>
      </c>
      <c r="V7" s="79"/>
      <c r="W7" s="79">
        <v>1000</v>
      </c>
      <c r="X7" s="79"/>
      <c r="Y7" s="79">
        <f t="shared" ref="Y7:Y13" si="1">SUM(W7,-I7)</f>
        <v>-4000</v>
      </c>
      <c r="Z7" s="62"/>
      <c r="AA7" s="63">
        <f t="shared" ref="AA7:AA14" si="2">IF(W7=0,"N/A",PRODUCT(Y7,1/I7))</f>
        <v>-0.8</v>
      </c>
      <c r="AB7" s="62"/>
      <c r="AC7" s="79">
        <f t="shared" ref="AC7:AC13" si="3">SUM(W7,-Q7)</f>
        <v>808.75</v>
      </c>
      <c r="AD7" s="62"/>
      <c r="AE7" s="63">
        <f t="shared" ref="AE7:AE14" si="4">IF(W7=0,"N/A",PRODUCT(AC7,1/Q7))</f>
        <v>4.2287581699346406</v>
      </c>
      <c r="AF7" s="57"/>
      <c r="AH7" s="57"/>
      <c r="AI7" s="57"/>
      <c r="AJ7" s="57"/>
    </row>
    <row r="8" spans="1:36" x14ac:dyDescent="0.2">
      <c r="A8" s="55" t="s">
        <v>285</v>
      </c>
      <c r="B8" s="56" t="s">
        <v>286</v>
      </c>
      <c r="C8" s="77">
        <v>42542.64</v>
      </c>
      <c r="E8" s="77">
        <v>49529.94</v>
      </c>
      <c r="G8" s="77">
        <v>50858.82</v>
      </c>
      <c r="I8" s="77">
        <v>65700</v>
      </c>
      <c r="K8" s="77">
        <v>65700</v>
      </c>
      <c r="M8" s="77">
        <v>60718.03</v>
      </c>
      <c r="O8" s="77">
        <f>PRODUCT(M8,0/12)</f>
        <v>0</v>
      </c>
      <c r="Q8" s="77">
        <f t="shared" si="0"/>
        <v>60718.03</v>
      </c>
      <c r="S8" s="77">
        <v>72500</v>
      </c>
      <c r="U8" s="77">
        <v>72500</v>
      </c>
      <c r="W8" s="77">
        <v>72500</v>
      </c>
      <c r="Y8" s="77">
        <f t="shared" si="1"/>
        <v>6800</v>
      </c>
      <c r="Z8" s="57"/>
      <c r="AA8" s="58">
        <f t="shared" si="2"/>
        <v>0.1035007610350076</v>
      </c>
      <c r="AB8" s="57"/>
      <c r="AC8" s="77">
        <f t="shared" si="3"/>
        <v>11781.970000000001</v>
      </c>
      <c r="AD8" s="57"/>
      <c r="AE8" s="58">
        <f t="shared" si="4"/>
        <v>0.19404400966236887</v>
      </c>
      <c r="AF8" s="57"/>
      <c r="AH8" s="57"/>
      <c r="AI8" s="57"/>
      <c r="AJ8" s="57"/>
    </row>
    <row r="9" spans="1:36" x14ac:dyDescent="0.2">
      <c r="A9" s="59" t="s">
        <v>287</v>
      </c>
      <c r="B9" s="60" t="s">
        <v>221</v>
      </c>
      <c r="C9" s="79">
        <v>95463.25</v>
      </c>
      <c r="D9" s="80"/>
      <c r="E9" s="79">
        <v>104121.69</v>
      </c>
      <c r="F9" s="80"/>
      <c r="G9" s="79">
        <v>98361.05</v>
      </c>
      <c r="H9" s="79"/>
      <c r="I9" s="79">
        <v>107500</v>
      </c>
      <c r="J9" s="79"/>
      <c r="K9" s="79">
        <v>107500</v>
      </c>
      <c r="L9" s="79"/>
      <c r="M9" s="79">
        <v>112464.27</v>
      </c>
      <c r="N9" s="79"/>
      <c r="O9" s="79">
        <f>PRODUCT(M9,0/12)</f>
        <v>0</v>
      </c>
      <c r="P9" s="79"/>
      <c r="Q9" s="79">
        <f t="shared" si="0"/>
        <v>112464.27</v>
      </c>
      <c r="R9" s="79"/>
      <c r="S9" s="79">
        <v>155000</v>
      </c>
      <c r="T9" s="79"/>
      <c r="U9" s="79">
        <v>155000</v>
      </c>
      <c r="V9" s="79"/>
      <c r="W9" s="79">
        <v>150000</v>
      </c>
      <c r="X9" s="79"/>
      <c r="Y9" s="79">
        <f t="shared" si="1"/>
        <v>42500</v>
      </c>
      <c r="Z9" s="62"/>
      <c r="AA9" s="63">
        <f t="shared" si="2"/>
        <v>0.39534883720930231</v>
      </c>
      <c r="AB9" s="62"/>
      <c r="AC9" s="79">
        <f t="shared" si="3"/>
        <v>37535.729999999996</v>
      </c>
      <c r="AD9" s="62"/>
      <c r="AE9" s="63">
        <f t="shared" si="4"/>
        <v>0.33375693453574184</v>
      </c>
      <c r="AF9" s="57"/>
      <c r="AH9" s="57"/>
      <c r="AI9" s="57"/>
      <c r="AJ9" s="57"/>
    </row>
    <row r="10" spans="1:36" x14ac:dyDescent="0.2">
      <c r="A10" s="55" t="s">
        <v>288</v>
      </c>
      <c r="B10" s="56" t="s">
        <v>400</v>
      </c>
      <c r="C10" s="77">
        <v>32888.14</v>
      </c>
      <c r="E10" s="77">
        <v>37481.99</v>
      </c>
      <c r="G10" s="77">
        <v>42927.3</v>
      </c>
      <c r="I10" s="77">
        <v>12100</v>
      </c>
      <c r="K10" s="77">
        <v>12100</v>
      </c>
      <c r="M10" s="77">
        <v>8687.1</v>
      </c>
      <c r="O10" s="77">
        <v>0</v>
      </c>
      <c r="Q10" s="77">
        <f t="shared" si="0"/>
        <v>8687.1</v>
      </c>
      <c r="S10" s="77">
        <v>0</v>
      </c>
      <c r="U10" s="77">
        <v>0</v>
      </c>
      <c r="W10" s="77">
        <v>0</v>
      </c>
      <c r="Y10" s="77">
        <f t="shared" si="1"/>
        <v>-12100</v>
      </c>
      <c r="Z10" s="57"/>
      <c r="AA10" s="58" t="str">
        <f t="shared" si="2"/>
        <v>N/A</v>
      </c>
      <c r="AB10" s="57"/>
      <c r="AC10" s="77">
        <f t="shared" si="3"/>
        <v>-8687.1</v>
      </c>
      <c r="AD10" s="57"/>
      <c r="AE10" s="58" t="str">
        <f t="shared" si="4"/>
        <v>N/A</v>
      </c>
      <c r="AF10" s="57"/>
      <c r="AH10" s="57"/>
      <c r="AI10" s="57"/>
      <c r="AJ10" s="57"/>
    </row>
    <row r="11" spans="1:36" x14ac:dyDescent="0.2">
      <c r="A11" s="59" t="s">
        <v>289</v>
      </c>
      <c r="B11" s="60" t="s">
        <v>401</v>
      </c>
      <c r="C11" s="79">
        <v>27291.759999999998</v>
      </c>
      <c r="D11" s="80"/>
      <c r="E11" s="79">
        <v>29553.9</v>
      </c>
      <c r="F11" s="80"/>
      <c r="G11" s="79">
        <v>32074.82</v>
      </c>
      <c r="H11" s="79"/>
      <c r="I11" s="79">
        <v>10500</v>
      </c>
      <c r="J11" s="79"/>
      <c r="K11" s="79">
        <v>10500</v>
      </c>
      <c r="L11" s="79"/>
      <c r="M11" s="79">
        <v>6180.4</v>
      </c>
      <c r="N11" s="79"/>
      <c r="O11" s="79">
        <v>0</v>
      </c>
      <c r="P11" s="79"/>
      <c r="Q11" s="79">
        <f t="shared" si="0"/>
        <v>6180.4</v>
      </c>
      <c r="R11" s="79"/>
      <c r="S11" s="79">
        <v>0</v>
      </c>
      <c r="T11" s="79"/>
      <c r="U11" s="79">
        <v>0</v>
      </c>
      <c r="V11" s="79"/>
      <c r="W11" s="79">
        <v>0</v>
      </c>
      <c r="X11" s="79"/>
      <c r="Y11" s="79">
        <f t="shared" si="1"/>
        <v>-10500</v>
      </c>
      <c r="Z11" s="62"/>
      <c r="AA11" s="63" t="str">
        <f t="shared" si="2"/>
        <v>N/A</v>
      </c>
      <c r="AB11" s="62"/>
      <c r="AC11" s="79">
        <f t="shared" si="3"/>
        <v>-6180.4</v>
      </c>
      <c r="AD11" s="62"/>
      <c r="AE11" s="63" t="str">
        <f t="shared" si="4"/>
        <v>N/A</v>
      </c>
      <c r="AF11" s="57"/>
      <c r="AH11" s="57"/>
      <c r="AI11" s="57"/>
      <c r="AJ11" s="57"/>
    </row>
    <row r="12" spans="1:36" x14ac:dyDescent="0.2">
      <c r="A12" s="55" t="s">
        <v>290</v>
      </c>
      <c r="B12" s="56" t="s">
        <v>46</v>
      </c>
      <c r="C12" s="77">
        <v>0</v>
      </c>
      <c r="E12" s="77">
        <v>0</v>
      </c>
      <c r="G12" s="77">
        <v>0</v>
      </c>
      <c r="I12" s="77">
        <v>54400</v>
      </c>
      <c r="K12" s="77">
        <v>54400</v>
      </c>
      <c r="M12" s="77">
        <v>71326.52</v>
      </c>
      <c r="O12" s="77">
        <f>PRODUCT(M12,0/9)</f>
        <v>0</v>
      </c>
      <c r="Q12" s="77">
        <f t="shared" si="0"/>
        <v>71326.52</v>
      </c>
      <c r="S12" s="77">
        <v>87500</v>
      </c>
      <c r="U12" s="77">
        <v>87500</v>
      </c>
      <c r="W12" s="77">
        <v>87500</v>
      </c>
      <c r="Y12" s="77">
        <f t="shared" si="1"/>
        <v>33100</v>
      </c>
      <c r="Z12" s="57"/>
      <c r="AA12" s="58">
        <f t="shared" si="2"/>
        <v>0.60845588235294112</v>
      </c>
      <c r="AB12" s="57"/>
      <c r="AC12" s="77">
        <f t="shared" si="3"/>
        <v>16173.479999999996</v>
      </c>
      <c r="AD12" s="57"/>
      <c r="AE12" s="58">
        <f t="shared" si="4"/>
        <v>0.22675268609768143</v>
      </c>
      <c r="AF12" s="57"/>
      <c r="AG12" s="56" t="s">
        <v>1080</v>
      </c>
      <c r="AH12" s="57"/>
      <c r="AI12" s="57"/>
      <c r="AJ12" s="57"/>
    </row>
    <row r="13" spans="1:36" x14ac:dyDescent="0.2">
      <c r="A13" s="59" t="s">
        <v>291</v>
      </c>
      <c r="B13" s="60" t="s">
        <v>292</v>
      </c>
      <c r="C13" s="79">
        <v>2306.4</v>
      </c>
      <c r="D13" s="80"/>
      <c r="E13" s="79">
        <v>0</v>
      </c>
      <c r="F13" s="80"/>
      <c r="G13" s="79">
        <v>599.91</v>
      </c>
      <c r="H13" s="79"/>
      <c r="I13" s="79">
        <v>1000</v>
      </c>
      <c r="J13" s="79"/>
      <c r="K13" s="79">
        <v>10000</v>
      </c>
      <c r="L13" s="79"/>
      <c r="M13" s="79">
        <v>7611.31</v>
      </c>
      <c r="N13" s="79"/>
      <c r="O13" s="79">
        <f>PRODUCT(M13,0/12)</f>
        <v>0</v>
      </c>
      <c r="P13" s="79"/>
      <c r="Q13" s="79">
        <f t="shared" si="0"/>
        <v>7611.31</v>
      </c>
      <c r="R13" s="79"/>
      <c r="S13" s="79">
        <v>10000</v>
      </c>
      <c r="T13" s="79"/>
      <c r="U13" s="79">
        <v>0</v>
      </c>
      <c r="V13" s="79"/>
      <c r="W13" s="79">
        <v>0</v>
      </c>
      <c r="X13" s="79"/>
      <c r="Y13" s="79">
        <f t="shared" si="1"/>
        <v>-1000</v>
      </c>
      <c r="Z13" s="62"/>
      <c r="AA13" s="63" t="str">
        <f t="shared" si="2"/>
        <v>N/A</v>
      </c>
      <c r="AB13" s="62"/>
      <c r="AC13" s="79">
        <f t="shared" si="3"/>
        <v>-7611.31</v>
      </c>
      <c r="AD13" s="62"/>
      <c r="AE13" s="63" t="str">
        <f t="shared" si="4"/>
        <v>N/A</v>
      </c>
      <c r="AF13" s="57"/>
      <c r="AH13" s="57"/>
      <c r="AI13" s="57"/>
      <c r="AJ13" s="57"/>
    </row>
    <row r="14" spans="1:36" x14ac:dyDescent="0.2">
      <c r="A14" s="64" t="s">
        <v>47</v>
      </c>
      <c r="C14" s="81">
        <f>SUM(C6:C13)</f>
        <v>793537.98</v>
      </c>
      <c r="E14" s="81">
        <f>SUM(E6:E13)</f>
        <v>878259.02999999991</v>
      </c>
      <c r="G14" s="81">
        <f>SUM(G6:G13)</f>
        <v>914825.30999999994</v>
      </c>
      <c r="I14" s="81">
        <f>SUM(I6:I13)</f>
        <v>1109550</v>
      </c>
      <c r="K14" s="81">
        <f>SUM(K6:K13)</f>
        <v>1086050</v>
      </c>
      <c r="M14" s="81">
        <f>SUM(M6:M13)</f>
        <v>1107864.8800000001</v>
      </c>
      <c r="O14" s="81">
        <f>SUM(O6:O13)</f>
        <v>0</v>
      </c>
      <c r="Q14" s="81">
        <f>SUM(Q6:Q13)</f>
        <v>1107864.8800000001</v>
      </c>
      <c r="S14" s="81">
        <f>SUM(S6:S13)</f>
        <v>1286000</v>
      </c>
      <c r="U14" s="81">
        <f>SUM(U6:U13)</f>
        <v>1276000</v>
      </c>
      <c r="W14" s="81">
        <f>SUM(W6:W13)</f>
        <v>1271000</v>
      </c>
      <c r="Y14" s="81">
        <f>SUM(Y6:Y13)</f>
        <v>161450</v>
      </c>
      <c r="Z14" s="57"/>
      <c r="AA14" s="65">
        <f t="shared" si="2"/>
        <v>0.1455094407642738</v>
      </c>
      <c r="AB14" s="57"/>
      <c r="AC14" s="81">
        <f>SUM(AC6:AC13)</f>
        <v>163135.12</v>
      </c>
      <c r="AD14" s="57"/>
      <c r="AE14" s="65">
        <f t="shared" si="4"/>
        <v>0.14725182009560586</v>
      </c>
      <c r="AF14" s="57"/>
      <c r="AH14" s="57"/>
      <c r="AI14" s="57"/>
      <c r="AJ14" s="57"/>
    </row>
    <row r="15" spans="1:36" x14ac:dyDescent="0.2">
      <c r="Z15" s="57"/>
      <c r="AA15" s="58"/>
      <c r="AB15" s="57"/>
      <c r="AD15" s="57"/>
      <c r="AE15" s="58"/>
      <c r="AF15" s="57"/>
      <c r="AH15" s="57"/>
      <c r="AI15" s="57"/>
      <c r="AJ15" s="57"/>
    </row>
    <row r="16" spans="1:36" x14ac:dyDescent="0.2">
      <c r="A16" s="54" t="s">
        <v>48</v>
      </c>
      <c r="Z16" s="57"/>
      <c r="AA16" s="58"/>
      <c r="AB16" s="57"/>
      <c r="AD16" s="57"/>
      <c r="AE16" s="58"/>
      <c r="AF16" s="57"/>
      <c r="AH16" s="57"/>
      <c r="AI16" s="57"/>
      <c r="AJ16" s="57"/>
    </row>
    <row r="17" spans="1:36" x14ac:dyDescent="0.2">
      <c r="A17" s="59" t="s">
        <v>293</v>
      </c>
      <c r="B17" s="60" t="s">
        <v>294</v>
      </c>
      <c r="C17" s="79">
        <v>14395</v>
      </c>
      <c r="D17" s="80"/>
      <c r="E17" s="79">
        <v>17915</v>
      </c>
      <c r="F17" s="80"/>
      <c r="G17" s="79">
        <v>23068.22</v>
      </c>
      <c r="H17" s="79"/>
      <c r="I17" s="79">
        <v>21500</v>
      </c>
      <c r="J17" s="79"/>
      <c r="K17" s="79">
        <v>21500</v>
      </c>
      <c r="L17" s="79"/>
      <c r="M17" s="79">
        <v>21670.560000000001</v>
      </c>
      <c r="N17" s="79"/>
      <c r="O17" s="79">
        <f>PRODUCT(M17,0/12)</f>
        <v>0</v>
      </c>
      <c r="P17" s="79"/>
      <c r="Q17" s="79">
        <f t="shared" ref="Q17:Q41" si="5">SUM(M17,O17)</f>
        <v>21670.560000000001</v>
      </c>
      <c r="R17" s="79"/>
      <c r="S17" s="79">
        <v>25000</v>
      </c>
      <c r="T17" s="79"/>
      <c r="U17" s="79">
        <v>27500</v>
      </c>
      <c r="V17" s="79"/>
      <c r="W17" s="79">
        <v>27500</v>
      </c>
      <c r="X17" s="79"/>
      <c r="Y17" s="79">
        <f t="shared" ref="Y17:Y41" si="6">SUM(W17,-I17)</f>
        <v>6000</v>
      </c>
      <c r="Z17" s="62"/>
      <c r="AA17" s="63">
        <f t="shared" ref="AA17:AA42" si="7">IF(W17=0,"N/A",PRODUCT(Y17,1/I17))</f>
        <v>0.27906976744186046</v>
      </c>
      <c r="AB17" s="62"/>
      <c r="AC17" s="79">
        <f t="shared" ref="AC17:AC41" si="8">SUM(W17,-Q17)</f>
        <v>5829.4399999999987</v>
      </c>
      <c r="AD17" s="62"/>
      <c r="AE17" s="63">
        <f t="shared" ref="AE17:AE42" si="9">IF(W17=0,"N/A",PRODUCT(AC17,1/Q17))</f>
        <v>0.26900273920009443</v>
      </c>
      <c r="AF17" s="57"/>
      <c r="AH17" s="57"/>
      <c r="AI17" s="57"/>
      <c r="AJ17" s="57"/>
    </row>
    <row r="18" spans="1:36" x14ac:dyDescent="0.2">
      <c r="A18" s="55" t="s">
        <v>295</v>
      </c>
      <c r="B18" s="56" t="s">
        <v>296</v>
      </c>
      <c r="C18" s="77">
        <v>58368.1</v>
      </c>
      <c r="E18" s="77">
        <v>66031.73</v>
      </c>
      <c r="G18" s="77">
        <v>109214.3</v>
      </c>
      <c r="I18" s="77">
        <v>69200</v>
      </c>
      <c r="K18" s="77">
        <v>69200</v>
      </c>
      <c r="M18" s="77">
        <v>25582.46</v>
      </c>
      <c r="O18" s="77">
        <f>PRODUCT(M18,0/12)</f>
        <v>0</v>
      </c>
      <c r="Q18" s="77">
        <f t="shared" si="5"/>
        <v>25582.46</v>
      </c>
      <c r="S18" s="77">
        <v>70000</v>
      </c>
      <c r="U18" s="77">
        <v>70000</v>
      </c>
      <c r="W18" s="77">
        <v>70000</v>
      </c>
      <c r="Y18" s="77">
        <f t="shared" si="6"/>
        <v>800</v>
      </c>
      <c r="Z18" s="57"/>
      <c r="AA18" s="58">
        <f t="shared" si="7"/>
        <v>1.1560693641618497E-2</v>
      </c>
      <c r="AB18" s="57"/>
      <c r="AC18" s="77">
        <f t="shared" si="8"/>
        <v>44417.54</v>
      </c>
      <c r="AD18" s="57"/>
      <c r="AE18" s="58">
        <f t="shared" si="9"/>
        <v>1.7362497586236822</v>
      </c>
      <c r="AF18" s="57"/>
      <c r="AG18" s="56" t="s">
        <v>1091</v>
      </c>
      <c r="AH18" s="57"/>
      <c r="AI18" s="57"/>
      <c r="AJ18" s="57"/>
    </row>
    <row r="19" spans="1:36" x14ac:dyDescent="0.2">
      <c r="A19" s="59" t="s">
        <v>297</v>
      </c>
      <c r="B19" s="60" t="s">
        <v>298</v>
      </c>
      <c r="C19" s="79">
        <v>3787.68</v>
      </c>
      <c r="D19" s="80"/>
      <c r="E19" s="79">
        <v>75</v>
      </c>
      <c r="F19" s="80"/>
      <c r="G19" s="79">
        <v>4089.04</v>
      </c>
      <c r="H19" s="79"/>
      <c r="I19" s="79">
        <v>10000</v>
      </c>
      <c r="J19" s="79"/>
      <c r="K19" s="79">
        <v>10000</v>
      </c>
      <c r="L19" s="79"/>
      <c r="M19" s="79">
        <v>6645.74</v>
      </c>
      <c r="N19" s="79"/>
      <c r="O19" s="79">
        <f>PRODUCT(M19,0/12)</f>
        <v>0</v>
      </c>
      <c r="P19" s="79"/>
      <c r="Q19" s="79">
        <f t="shared" si="5"/>
        <v>6645.74</v>
      </c>
      <c r="R19" s="79"/>
      <c r="S19" s="79">
        <v>10000</v>
      </c>
      <c r="T19" s="79"/>
      <c r="U19" s="79">
        <v>10000</v>
      </c>
      <c r="V19" s="79"/>
      <c r="W19" s="79">
        <v>10000</v>
      </c>
      <c r="X19" s="79"/>
      <c r="Y19" s="79">
        <f t="shared" si="6"/>
        <v>0</v>
      </c>
      <c r="Z19" s="62"/>
      <c r="AA19" s="63">
        <f t="shared" si="7"/>
        <v>0</v>
      </c>
      <c r="AB19" s="62"/>
      <c r="AC19" s="79">
        <f t="shared" si="8"/>
        <v>3354.26</v>
      </c>
      <c r="AD19" s="62"/>
      <c r="AE19" s="63">
        <f t="shared" si="9"/>
        <v>0.50472332652195251</v>
      </c>
      <c r="AF19" s="57"/>
      <c r="AG19" s="56" t="s">
        <v>987</v>
      </c>
      <c r="AH19" s="57"/>
      <c r="AI19" s="57"/>
      <c r="AJ19" s="57"/>
    </row>
    <row r="20" spans="1:36" x14ac:dyDescent="0.2">
      <c r="A20" s="55" t="s">
        <v>299</v>
      </c>
      <c r="B20" s="56" t="s">
        <v>300</v>
      </c>
      <c r="C20" s="77">
        <v>10648.64</v>
      </c>
      <c r="E20" s="77">
        <v>10344.209999999999</v>
      </c>
      <c r="G20" s="77">
        <v>11333.42</v>
      </c>
      <c r="I20" s="77">
        <v>14000</v>
      </c>
      <c r="K20" s="77">
        <v>14000</v>
      </c>
      <c r="M20" s="77">
        <v>12367.88</v>
      </c>
      <c r="O20" s="77">
        <v>0</v>
      </c>
      <c r="Q20" s="77">
        <f t="shared" si="5"/>
        <v>12367.88</v>
      </c>
      <c r="S20" s="77">
        <v>14000</v>
      </c>
      <c r="U20" s="77">
        <v>14000</v>
      </c>
      <c r="W20" s="77">
        <v>14000</v>
      </c>
      <c r="Y20" s="77">
        <f t="shared" si="6"/>
        <v>0</v>
      </c>
      <c r="Z20" s="57"/>
      <c r="AA20" s="58">
        <f t="shared" si="7"/>
        <v>0</v>
      </c>
      <c r="AB20" s="57"/>
      <c r="AC20" s="77">
        <f t="shared" si="8"/>
        <v>1632.1200000000008</v>
      </c>
      <c r="AD20" s="57"/>
      <c r="AE20" s="58">
        <f t="shared" si="9"/>
        <v>0.13196441103891701</v>
      </c>
      <c r="AF20" s="57"/>
      <c r="AH20" s="57"/>
      <c r="AI20" s="57"/>
      <c r="AJ20" s="57"/>
    </row>
    <row r="21" spans="1:36" x14ac:dyDescent="0.2">
      <c r="A21" s="59" t="s">
        <v>301</v>
      </c>
      <c r="B21" s="60" t="s">
        <v>302</v>
      </c>
      <c r="C21" s="79">
        <v>102904</v>
      </c>
      <c r="D21" s="80"/>
      <c r="E21" s="79">
        <v>110207.75</v>
      </c>
      <c r="F21" s="80"/>
      <c r="G21" s="79">
        <v>111984.25</v>
      </c>
      <c r="H21" s="79"/>
      <c r="I21" s="79">
        <v>122000</v>
      </c>
      <c r="J21" s="79"/>
      <c r="K21" s="79">
        <v>122000</v>
      </c>
      <c r="L21" s="79"/>
      <c r="M21" s="79">
        <v>118382.75</v>
      </c>
      <c r="N21" s="79"/>
      <c r="O21" s="79">
        <v>0</v>
      </c>
      <c r="P21" s="79"/>
      <c r="Q21" s="79">
        <f t="shared" si="5"/>
        <v>118382.75</v>
      </c>
      <c r="R21" s="79"/>
      <c r="S21" s="79">
        <v>125000</v>
      </c>
      <c r="T21" s="79"/>
      <c r="U21" s="79">
        <v>125000</v>
      </c>
      <c r="V21" s="79"/>
      <c r="W21" s="79">
        <v>125000</v>
      </c>
      <c r="X21" s="79"/>
      <c r="Y21" s="79">
        <f t="shared" si="6"/>
        <v>3000</v>
      </c>
      <c r="Z21" s="62"/>
      <c r="AA21" s="63">
        <f t="shared" si="7"/>
        <v>2.4590163934426233E-2</v>
      </c>
      <c r="AB21" s="62"/>
      <c r="AC21" s="79">
        <f t="shared" si="8"/>
        <v>6617.25</v>
      </c>
      <c r="AD21" s="62"/>
      <c r="AE21" s="63">
        <f t="shared" si="9"/>
        <v>5.5897079599857249E-2</v>
      </c>
      <c r="AF21" s="57"/>
      <c r="AH21" s="57"/>
      <c r="AI21" s="57"/>
      <c r="AJ21" s="57"/>
    </row>
    <row r="22" spans="1:36" x14ac:dyDescent="0.2">
      <c r="A22" s="55" t="s">
        <v>303</v>
      </c>
      <c r="B22" s="56" t="s">
        <v>304</v>
      </c>
      <c r="C22" s="77">
        <v>0</v>
      </c>
      <c r="E22" s="77">
        <v>0</v>
      </c>
      <c r="G22" s="77">
        <v>41020</v>
      </c>
      <c r="I22" s="77">
        <v>487000</v>
      </c>
      <c r="K22" s="77">
        <v>487000</v>
      </c>
      <c r="M22" s="77">
        <v>63706.25</v>
      </c>
      <c r="O22" s="77">
        <v>0</v>
      </c>
      <c r="Q22" s="77">
        <f t="shared" si="5"/>
        <v>63706.25</v>
      </c>
      <c r="S22" s="77">
        <v>347000</v>
      </c>
      <c r="U22" s="77">
        <v>347000</v>
      </c>
      <c r="W22" s="77">
        <v>347000</v>
      </c>
      <c r="Y22" s="77">
        <f t="shared" si="6"/>
        <v>-140000</v>
      </c>
      <c r="Z22" s="57"/>
      <c r="AA22" s="58">
        <f t="shared" si="7"/>
        <v>-0.28747433264887068</v>
      </c>
      <c r="AB22" s="57"/>
      <c r="AC22" s="77">
        <f t="shared" si="8"/>
        <v>283293.75</v>
      </c>
      <c r="AD22" s="57"/>
      <c r="AE22" s="58">
        <f t="shared" si="9"/>
        <v>4.4468753065829487</v>
      </c>
      <c r="AF22" s="57"/>
      <c r="AG22" s="56" t="s">
        <v>1081</v>
      </c>
      <c r="AH22" s="57"/>
      <c r="AI22" s="57"/>
      <c r="AJ22" s="57"/>
    </row>
    <row r="23" spans="1:36" x14ac:dyDescent="0.2">
      <c r="A23" s="59" t="s">
        <v>305</v>
      </c>
      <c r="B23" s="60" t="s">
        <v>306</v>
      </c>
      <c r="C23" s="79">
        <v>0</v>
      </c>
      <c r="D23" s="80"/>
      <c r="E23" s="79">
        <v>0</v>
      </c>
      <c r="F23" s="80"/>
      <c r="G23" s="79">
        <v>0</v>
      </c>
      <c r="H23" s="79"/>
      <c r="I23" s="79">
        <v>52500</v>
      </c>
      <c r="J23" s="79"/>
      <c r="K23" s="79">
        <v>52500</v>
      </c>
      <c r="L23" s="79"/>
      <c r="M23" s="79">
        <v>48097.08</v>
      </c>
      <c r="N23" s="79"/>
      <c r="O23" s="79">
        <f t="shared" ref="O23:O37" si="10">PRODUCT(M23,0/12)</f>
        <v>0</v>
      </c>
      <c r="P23" s="79"/>
      <c r="Q23" s="79">
        <f t="shared" si="5"/>
        <v>48097.08</v>
      </c>
      <c r="R23" s="79"/>
      <c r="S23" s="79">
        <v>0</v>
      </c>
      <c r="T23" s="79"/>
      <c r="U23" s="79">
        <v>60000</v>
      </c>
      <c r="V23" s="79"/>
      <c r="W23" s="79">
        <v>60000</v>
      </c>
      <c r="X23" s="79"/>
      <c r="Y23" s="79">
        <f t="shared" si="6"/>
        <v>7500</v>
      </c>
      <c r="Z23" s="62"/>
      <c r="AA23" s="63">
        <f t="shared" si="7"/>
        <v>0.14285714285714285</v>
      </c>
      <c r="AB23" s="62"/>
      <c r="AC23" s="79">
        <f t="shared" si="8"/>
        <v>11902.919999999998</v>
      </c>
      <c r="AD23" s="62"/>
      <c r="AE23" s="63">
        <f t="shared" si="9"/>
        <v>0.24747697781237443</v>
      </c>
      <c r="AF23" s="57"/>
      <c r="AG23" s="56" t="s">
        <v>1082</v>
      </c>
      <c r="AH23" s="57"/>
      <c r="AI23" s="57"/>
      <c r="AJ23" s="57"/>
    </row>
    <row r="24" spans="1:36" x14ac:dyDescent="0.2">
      <c r="A24" s="55" t="s">
        <v>307</v>
      </c>
      <c r="B24" s="56" t="s">
        <v>308</v>
      </c>
      <c r="C24" s="77">
        <v>37945.49</v>
      </c>
      <c r="E24" s="77">
        <v>54443.18</v>
      </c>
      <c r="G24" s="77">
        <v>52086.74</v>
      </c>
      <c r="I24" s="77">
        <v>74100</v>
      </c>
      <c r="K24" s="77">
        <v>74100</v>
      </c>
      <c r="M24" s="77">
        <v>58401.36</v>
      </c>
      <c r="O24" s="77">
        <f t="shared" si="10"/>
        <v>0</v>
      </c>
      <c r="Q24" s="77">
        <f t="shared" si="5"/>
        <v>58401.36</v>
      </c>
      <c r="S24" s="77">
        <v>75000</v>
      </c>
      <c r="U24" s="77">
        <v>75000</v>
      </c>
      <c r="W24" s="77">
        <v>75000</v>
      </c>
      <c r="Y24" s="77">
        <f t="shared" si="6"/>
        <v>900</v>
      </c>
      <c r="Z24" s="57"/>
      <c r="AA24" s="58">
        <f t="shared" si="7"/>
        <v>1.2145748987854251E-2</v>
      </c>
      <c r="AB24" s="57"/>
      <c r="AC24" s="77">
        <f t="shared" si="8"/>
        <v>16598.64</v>
      </c>
      <c r="AD24" s="57"/>
      <c r="AE24" s="58">
        <f t="shared" si="9"/>
        <v>0.28421666892688802</v>
      </c>
      <c r="AF24" s="57"/>
      <c r="AG24" s="56" t="s">
        <v>988</v>
      </c>
      <c r="AH24" s="57"/>
      <c r="AI24" s="57"/>
      <c r="AJ24" s="57"/>
    </row>
    <row r="25" spans="1:36" x14ac:dyDescent="0.2">
      <c r="A25" s="59" t="s">
        <v>309</v>
      </c>
      <c r="B25" s="60" t="s">
        <v>310</v>
      </c>
      <c r="C25" s="79">
        <v>3651.8</v>
      </c>
      <c r="D25" s="80"/>
      <c r="E25" s="79">
        <v>8051</v>
      </c>
      <c r="F25" s="80"/>
      <c r="G25" s="79">
        <v>9471</v>
      </c>
      <c r="H25" s="79"/>
      <c r="I25" s="79">
        <v>10000</v>
      </c>
      <c r="J25" s="79"/>
      <c r="K25" s="79">
        <v>10000</v>
      </c>
      <c r="L25" s="79"/>
      <c r="M25" s="79">
        <v>6419.03</v>
      </c>
      <c r="N25" s="79"/>
      <c r="O25" s="79">
        <f t="shared" si="10"/>
        <v>0</v>
      </c>
      <c r="P25" s="79"/>
      <c r="Q25" s="79">
        <f t="shared" si="5"/>
        <v>6419.03</v>
      </c>
      <c r="R25" s="79"/>
      <c r="S25" s="79">
        <v>10000</v>
      </c>
      <c r="T25" s="79"/>
      <c r="U25" s="79">
        <v>10000</v>
      </c>
      <c r="V25" s="79"/>
      <c r="W25" s="79">
        <v>10000</v>
      </c>
      <c r="X25" s="79"/>
      <c r="Y25" s="79">
        <f t="shared" si="6"/>
        <v>0</v>
      </c>
      <c r="Z25" s="62"/>
      <c r="AA25" s="63">
        <f t="shared" si="7"/>
        <v>0</v>
      </c>
      <c r="AB25" s="62"/>
      <c r="AC25" s="79">
        <f t="shared" si="8"/>
        <v>3580.9700000000003</v>
      </c>
      <c r="AD25" s="62"/>
      <c r="AE25" s="63">
        <f t="shared" si="9"/>
        <v>0.55786777753024996</v>
      </c>
      <c r="AF25" s="57"/>
      <c r="AG25" s="56" t="s">
        <v>987</v>
      </c>
      <c r="AH25" s="57"/>
      <c r="AI25" s="57"/>
      <c r="AJ25" s="57"/>
    </row>
    <row r="26" spans="1:36" x14ac:dyDescent="0.2">
      <c r="A26" s="55" t="s">
        <v>311</v>
      </c>
      <c r="B26" s="56" t="s">
        <v>312</v>
      </c>
      <c r="C26" s="77">
        <v>3533.01</v>
      </c>
      <c r="E26" s="77">
        <v>5053.8</v>
      </c>
      <c r="G26" s="77">
        <v>6722.66</v>
      </c>
      <c r="I26" s="77">
        <v>7000</v>
      </c>
      <c r="K26" s="77">
        <v>7000</v>
      </c>
      <c r="M26" s="77">
        <v>10297.17</v>
      </c>
      <c r="O26" s="77">
        <f t="shared" si="10"/>
        <v>0</v>
      </c>
      <c r="Q26" s="77">
        <f t="shared" si="5"/>
        <v>10297.17</v>
      </c>
      <c r="S26" s="77">
        <v>7500</v>
      </c>
      <c r="U26" s="77">
        <v>17500</v>
      </c>
      <c r="W26" s="77">
        <v>17500</v>
      </c>
      <c r="Y26" s="77">
        <f t="shared" si="6"/>
        <v>10500</v>
      </c>
      <c r="Z26" s="57"/>
      <c r="AA26" s="58">
        <f t="shared" si="7"/>
        <v>1.5000000000000002</v>
      </c>
      <c r="AB26" s="57"/>
      <c r="AC26" s="77">
        <f t="shared" si="8"/>
        <v>7202.83</v>
      </c>
      <c r="AD26" s="57"/>
      <c r="AE26" s="58">
        <f t="shared" si="9"/>
        <v>0.69949607513520706</v>
      </c>
      <c r="AF26" s="57"/>
      <c r="AG26" s="56" t="s">
        <v>1047</v>
      </c>
      <c r="AH26" s="57"/>
      <c r="AI26" s="57"/>
      <c r="AJ26" s="57"/>
    </row>
    <row r="27" spans="1:36" x14ac:dyDescent="0.2">
      <c r="A27" s="59" t="s">
        <v>1292</v>
      </c>
      <c r="B27" s="60" t="s">
        <v>1293</v>
      </c>
      <c r="C27" s="79">
        <v>0</v>
      </c>
      <c r="D27" s="80"/>
      <c r="E27" s="79">
        <v>0</v>
      </c>
      <c r="F27" s="80"/>
      <c r="G27" s="79">
        <v>0</v>
      </c>
      <c r="H27" s="79"/>
      <c r="I27" s="79">
        <v>0</v>
      </c>
      <c r="J27" s="79"/>
      <c r="K27" s="79">
        <v>0</v>
      </c>
      <c r="L27" s="79"/>
      <c r="M27" s="79">
        <v>0</v>
      </c>
      <c r="N27" s="79"/>
      <c r="O27" s="79">
        <f t="shared" si="10"/>
        <v>0</v>
      </c>
      <c r="P27" s="79"/>
      <c r="Q27" s="79">
        <f t="shared" si="5"/>
        <v>0</v>
      </c>
      <c r="R27" s="79"/>
      <c r="S27" s="79">
        <v>0</v>
      </c>
      <c r="T27" s="79"/>
      <c r="U27" s="79">
        <v>0</v>
      </c>
      <c r="V27" s="79"/>
      <c r="W27" s="79">
        <v>3000</v>
      </c>
      <c r="X27" s="79"/>
      <c r="Y27" s="79">
        <f t="shared" si="6"/>
        <v>3000</v>
      </c>
      <c r="Z27" s="62"/>
      <c r="AA27" s="63" t="e">
        <f t="shared" si="7"/>
        <v>#DIV/0!</v>
      </c>
      <c r="AB27" s="62"/>
      <c r="AC27" s="79">
        <f t="shared" si="8"/>
        <v>3000</v>
      </c>
      <c r="AD27" s="62"/>
      <c r="AE27" s="63" t="e">
        <f t="shared" si="9"/>
        <v>#DIV/0!</v>
      </c>
      <c r="AF27" s="57"/>
      <c r="AG27" s="56" t="s">
        <v>1294</v>
      </c>
      <c r="AH27" s="57"/>
      <c r="AI27" s="57"/>
      <c r="AJ27" s="57"/>
    </row>
    <row r="28" spans="1:36" x14ac:dyDescent="0.2">
      <c r="A28" s="55" t="s">
        <v>313</v>
      </c>
      <c r="B28" s="56" t="s">
        <v>314</v>
      </c>
      <c r="C28" s="77">
        <v>24281.55</v>
      </c>
      <c r="E28" s="77">
        <v>12654.44</v>
      </c>
      <c r="G28" s="77">
        <v>0</v>
      </c>
      <c r="I28" s="77">
        <v>15000</v>
      </c>
      <c r="K28" s="77">
        <v>15000</v>
      </c>
      <c r="M28" s="77">
        <v>0</v>
      </c>
      <c r="O28" s="77">
        <f t="shared" si="10"/>
        <v>0</v>
      </c>
      <c r="Q28" s="77">
        <f t="shared" si="5"/>
        <v>0</v>
      </c>
      <c r="S28" s="77">
        <v>12500</v>
      </c>
      <c r="U28" s="77">
        <v>5000</v>
      </c>
      <c r="W28" s="77">
        <v>5000</v>
      </c>
      <c r="Y28" s="77">
        <f t="shared" si="6"/>
        <v>-10000</v>
      </c>
      <c r="Z28" s="57"/>
      <c r="AA28" s="58">
        <f t="shared" si="7"/>
        <v>-0.66666666666666674</v>
      </c>
      <c r="AB28" s="57"/>
      <c r="AC28" s="77">
        <f t="shared" si="8"/>
        <v>5000</v>
      </c>
      <c r="AD28" s="57"/>
      <c r="AE28" s="58" t="e">
        <f t="shared" si="9"/>
        <v>#DIV/0!</v>
      </c>
      <c r="AF28" s="57"/>
      <c r="AH28" s="57"/>
      <c r="AI28" s="57"/>
      <c r="AJ28" s="57"/>
    </row>
    <row r="29" spans="1:36" x14ac:dyDescent="0.2">
      <c r="A29" s="59" t="s">
        <v>315</v>
      </c>
      <c r="B29" s="60" t="s">
        <v>316</v>
      </c>
      <c r="C29" s="79">
        <v>111106.6</v>
      </c>
      <c r="D29" s="80"/>
      <c r="E29" s="79">
        <v>112249.68</v>
      </c>
      <c r="F29" s="80"/>
      <c r="G29" s="79">
        <v>113387.04</v>
      </c>
      <c r="H29" s="79"/>
      <c r="I29" s="79">
        <v>0</v>
      </c>
      <c r="J29" s="79"/>
      <c r="K29" s="79">
        <v>0</v>
      </c>
      <c r="L29" s="79"/>
      <c r="M29" s="79">
        <v>0</v>
      </c>
      <c r="N29" s="79"/>
      <c r="O29" s="79">
        <f t="shared" si="10"/>
        <v>0</v>
      </c>
      <c r="P29" s="79"/>
      <c r="Q29" s="79">
        <f t="shared" si="5"/>
        <v>0</v>
      </c>
      <c r="R29" s="79"/>
      <c r="S29" s="79">
        <v>0</v>
      </c>
      <c r="T29" s="79"/>
      <c r="U29" s="79">
        <v>0</v>
      </c>
      <c r="V29" s="79"/>
      <c r="W29" s="79">
        <v>0</v>
      </c>
      <c r="X29" s="79"/>
      <c r="Y29" s="79">
        <f t="shared" si="6"/>
        <v>0</v>
      </c>
      <c r="Z29" s="62"/>
      <c r="AA29" s="63" t="str">
        <f t="shared" si="7"/>
        <v>N/A</v>
      </c>
      <c r="AB29" s="62"/>
      <c r="AC29" s="79">
        <f t="shared" si="8"/>
        <v>0</v>
      </c>
      <c r="AD29" s="62"/>
      <c r="AE29" s="63" t="str">
        <f t="shared" si="9"/>
        <v>N/A</v>
      </c>
      <c r="AF29" s="57"/>
      <c r="AH29" s="57"/>
      <c r="AI29" s="57"/>
      <c r="AJ29" s="57"/>
    </row>
    <row r="30" spans="1:36" x14ac:dyDescent="0.2">
      <c r="A30" s="55" t="s">
        <v>317</v>
      </c>
      <c r="B30" s="56" t="s">
        <v>318</v>
      </c>
      <c r="C30" s="77">
        <v>39804.1</v>
      </c>
      <c r="E30" s="77">
        <v>31253.360000000001</v>
      </c>
      <c r="G30" s="77">
        <v>38134.89</v>
      </c>
      <c r="I30" s="77">
        <v>35400</v>
      </c>
      <c r="K30" s="77">
        <v>35400</v>
      </c>
      <c r="M30" s="77">
        <v>42193.5</v>
      </c>
      <c r="O30" s="77">
        <f t="shared" si="10"/>
        <v>0</v>
      </c>
      <c r="Q30" s="77">
        <f t="shared" si="5"/>
        <v>42193.5</v>
      </c>
      <c r="S30" s="77">
        <v>40000</v>
      </c>
      <c r="U30" s="77">
        <v>40000</v>
      </c>
      <c r="W30" s="77">
        <v>40000</v>
      </c>
      <c r="Y30" s="77">
        <f t="shared" si="6"/>
        <v>4600</v>
      </c>
      <c r="Z30" s="57"/>
      <c r="AA30" s="58">
        <f t="shared" si="7"/>
        <v>0.12994350282485875</v>
      </c>
      <c r="AB30" s="57"/>
      <c r="AC30" s="77">
        <f t="shared" si="8"/>
        <v>-2193.5</v>
      </c>
      <c r="AD30" s="57"/>
      <c r="AE30" s="58">
        <f t="shared" si="9"/>
        <v>-5.1986680412859802E-2</v>
      </c>
      <c r="AF30" s="57"/>
      <c r="AG30" s="56" t="s">
        <v>989</v>
      </c>
      <c r="AH30" s="57"/>
      <c r="AI30" s="57"/>
      <c r="AJ30" s="57"/>
    </row>
    <row r="31" spans="1:36" x14ac:dyDescent="0.2">
      <c r="A31" s="59" t="s">
        <v>319</v>
      </c>
      <c r="B31" s="60" t="s">
        <v>633</v>
      </c>
      <c r="C31" s="79">
        <v>0</v>
      </c>
      <c r="D31" s="80"/>
      <c r="E31" s="79">
        <v>3905.33</v>
      </c>
      <c r="F31" s="80"/>
      <c r="G31" s="79">
        <v>0</v>
      </c>
      <c r="H31" s="79"/>
      <c r="I31" s="79">
        <v>6800</v>
      </c>
      <c r="J31" s="79"/>
      <c r="K31" s="79">
        <v>6800</v>
      </c>
      <c r="L31" s="79"/>
      <c r="M31" s="79">
        <v>9182.6</v>
      </c>
      <c r="N31" s="79"/>
      <c r="O31" s="79">
        <f t="shared" si="10"/>
        <v>0</v>
      </c>
      <c r="P31" s="79"/>
      <c r="Q31" s="79">
        <f t="shared" si="5"/>
        <v>9182.6</v>
      </c>
      <c r="R31" s="79"/>
      <c r="S31" s="79">
        <v>7500</v>
      </c>
      <c r="T31" s="79"/>
      <c r="U31" s="79">
        <v>11000</v>
      </c>
      <c r="V31" s="79"/>
      <c r="W31" s="79">
        <v>11000</v>
      </c>
      <c r="X31" s="79"/>
      <c r="Y31" s="79">
        <f t="shared" si="6"/>
        <v>4200</v>
      </c>
      <c r="Z31" s="62"/>
      <c r="AA31" s="63">
        <f t="shared" si="7"/>
        <v>0.61764705882352933</v>
      </c>
      <c r="AB31" s="62"/>
      <c r="AC31" s="79">
        <f t="shared" si="8"/>
        <v>1817.3999999999996</v>
      </c>
      <c r="AD31" s="62"/>
      <c r="AE31" s="63">
        <f t="shared" si="9"/>
        <v>0.19791780105852369</v>
      </c>
      <c r="AF31" s="57"/>
      <c r="AG31" s="56" t="s">
        <v>1083</v>
      </c>
      <c r="AH31" s="57"/>
      <c r="AI31" s="57"/>
      <c r="AJ31" s="57"/>
    </row>
    <row r="32" spans="1:36" x14ac:dyDescent="0.2">
      <c r="A32" s="55" t="s">
        <v>320</v>
      </c>
      <c r="B32" s="56" t="s">
        <v>321</v>
      </c>
      <c r="C32" s="77">
        <v>30596.03</v>
      </c>
      <c r="E32" s="77">
        <v>29676.82</v>
      </c>
      <c r="G32" s="77">
        <v>34947.47</v>
      </c>
      <c r="I32" s="77">
        <v>37000</v>
      </c>
      <c r="K32" s="77">
        <v>37000</v>
      </c>
      <c r="M32" s="77">
        <v>35763.17</v>
      </c>
      <c r="O32" s="77">
        <f t="shared" si="10"/>
        <v>0</v>
      </c>
      <c r="Q32" s="77">
        <f t="shared" si="5"/>
        <v>35763.17</v>
      </c>
      <c r="S32" s="77">
        <v>36000</v>
      </c>
      <c r="U32" s="77">
        <v>36000</v>
      </c>
      <c r="W32" s="77">
        <v>36000</v>
      </c>
      <c r="Y32" s="77">
        <f t="shared" si="6"/>
        <v>-1000</v>
      </c>
      <c r="Z32" s="57"/>
      <c r="AA32" s="58">
        <f t="shared" si="7"/>
        <v>-2.7027027027027025E-2</v>
      </c>
      <c r="AB32" s="57"/>
      <c r="AC32" s="77">
        <f t="shared" si="8"/>
        <v>236.83000000000175</v>
      </c>
      <c r="AD32" s="57"/>
      <c r="AE32" s="58">
        <f t="shared" si="9"/>
        <v>6.6221758306101433E-3</v>
      </c>
      <c r="AF32" s="57"/>
      <c r="AG32" s="56" t="s">
        <v>1440</v>
      </c>
      <c r="AH32" s="57"/>
      <c r="AI32" s="57"/>
      <c r="AJ32" s="57"/>
    </row>
    <row r="33" spans="1:36" x14ac:dyDescent="0.2">
      <c r="A33" s="59" t="s">
        <v>322</v>
      </c>
      <c r="B33" s="60" t="s">
        <v>323</v>
      </c>
      <c r="C33" s="79">
        <v>4287.63</v>
      </c>
      <c r="D33" s="80"/>
      <c r="E33" s="79">
        <v>5007.3500000000004</v>
      </c>
      <c r="F33" s="80"/>
      <c r="G33" s="79">
        <v>5049.8</v>
      </c>
      <c r="H33" s="79"/>
      <c r="I33" s="79">
        <v>5000</v>
      </c>
      <c r="J33" s="79"/>
      <c r="K33" s="79">
        <v>5000</v>
      </c>
      <c r="L33" s="79"/>
      <c r="M33" s="79">
        <v>2645.84</v>
      </c>
      <c r="N33" s="79"/>
      <c r="O33" s="79">
        <f t="shared" si="10"/>
        <v>0</v>
      </c>
      <c r="P33" s="79"/>
      <c r="Q33" s="79">
        <f t="shared" si="5"/>
        <v>2645.84</v>
      </c>
      <c r="R33" s="79"/>
      <c r="S33" s="79">
        <v>5000</v>
      </c>
      <c r="T33" s="79"/>
      <c r="U33" s="79">
        <v>5000</v>
      </c>
      <c r="V33" s="79"/>
      <c r="W33" s="79">
        <v>5000</v>
      </c>
      <c r="X33" s="79"/>
      <c r="Y33" s="79">
        <f t="shared" si="6"/>
        <v>0</v>
      </c>
      <c r="Z33" s="62"/>
      <c r="AA33" s="63">
        <f t="shared" si="7"/>
        <v>0</v>
      </c>
      <c r="AB33" s="62"/>
      <c r="AC33" s="79">
        <f t="shared" si="8"/>
        <v>2354.16</v>
      </c>
      <c r="AD33" s="62"/>
      <c r="AE33" s="63">
        <f t="shared" si="9"/>
        <v>0.88975901793003342</v>
      </c>
      <c r="AF33" s="57"/>
      <c r="AH33" s="57"/>
      <c r="AI33" s="57"/>
      <c r="AJ33" s="57"/>
    </row>
    <row r="34" spans="1:36" x14ac:dyDescent="0.2">
      <c r="A34" s="55" t="s">
        <v>324</v>
      </c>
      <c r="B34" s="56" t="s">
        <v>325</v>
      </c>
      <c r="C34" s="77">
        <v>0</v>
      </c>
      <c r="E34" s="77">
        <v>1329.99</v>
      </c>
      <c r="G34" s="77">
        <v>10590.53</v>
      </c>
      <c r="I34" s="77">
        <v>15000</v>
      </c>
      <c r="K34" s="77">
        <v>15000</v>
      </c>
      <c r="M34" s="77">
        <v>4021.64</v>
      </c>
      <c r="O34" s="77">
        <f t="shared" si="10"/>
        <v>0</v>
      </c>
      <c r="Q34" s="77">
        <f t="shared" si="5"/>
        <v>4021.64</v>
      </c>
      <c r="S34" s="77">
        <v>10000</v>
      </c>
      <c r="U34" s="77">
        <v>18000</v>
      </c>
      <c r="W34" s="77">
        <v>20000</v>
      </c>
      <c r="Y34" s="77">
        <f t="shared" si="6"/>
        <v>5000</v>
      </c>
      <c r="Z34" s="57"/>
      <c r="AA34" s="58">
        <f t="shared" si="7"/>
        <v>0.33333333333333337</v>
      </c>
      <c r="AB34" s="57"/>
      <c r="AC34" s="77">
        <f t="shared" si="8"/>
        <v>15978.36</v>
      </c>
      <c r="AD34" s="57"/>
      <c r="AE34" s="58">
        <f t="shared" si="9"/>
        <v>3.9730955530579566</v>
      </c>
      <c r="AF34" s="57"/>
      <c r="AG34" s="56" t="s">
        <v>990</v>
      </c>
      <c r="AH34" s="57"/>
      <c r="AI34" s="57"/>
      <c r="AJ34" s="57"/>
    </row>
    <row r="35" spans="1:36" x14ac:dyDescent="0.2">
      <c r="A35" s="59" t="s">
        <v>326</v>
      </c>
      <c r="B35" s="60" t="s">
        <v>327</v>
      </c>
      <c r="C35" s="79">
        <v>41771.120000000003</v>
      </c>
      <c r="D35" s="80"/>
      <c r="E35" s="79">
        <v>21303.09</v>
      </c>
      <c r="F35" s="80"/>
      <c r="G35" s="79">
        <v>25967.38</v>
      </c>
      <c r="H35" s="79"/>
      <c r="I35" s="79">
        <v>30000</v>
      </c>
      <c r="J35" s="79"/>
      <c r="K35" s="79">
        <v>30000</v>
      </c>
      <c r="L35" s="79"/>
      <c r="M35" s="79">
        <v>27664.38</v>
      </c>
      <c r="N35" s="79"/>
      <c r="O35" s="79">
        <f t="shared" si="10"/>
        <v>0</v>
      </c>
      <c r="P35" s="79"/>
      <c r="Q35" s="79">
        <f t="shared" si="5"/>
        <v>27664.38</v>
      </c>
      <c r="R35" s="79"/>
      <c r="S35" s="79">
        <v>30000</v>
      </c>
      <c r="T35" s="79"/>
      <c r="U35" s="79">
        <v>35000</v>
      </c>
      <c r="V35" s="79"/>
      <c r="W35" s="79">
        <v>30000</v>
      </c>
      <c r="X35" s="79"/>
      <c r="Y35" s="79">
        <f t="shared" si="6"/>
        <v>0</v>
      </c>
      <c r="Z35" s="62"/>
      <c r="AA35" s="63">
        <f t="shared" si="7"/>
        <v>0</v>
      </c>
      <c r="AB35" s="62"/>
      <c r="AC35" s="79">
        <f t="shared" si="8"/>
        <v>2335.619999999999</v>
      </c>
      <c r="AD35" s="62"/>
      <c r="AE35" s="63">
        <f t="shared" si="9"/>
        <v>8.4426977940586373E-2</v>
      </c>
      <c r="AF35" s="57"/>
      <c r="AG35" s="56" t="s">
        <v>1046</v>
      </c>
      <c r="AH35" s="57"/>
      <c r="AI35" s="57"/>
      <c r="AJ35" s="57"/>
    </row>
    <row r="36" spans="1:36" x14ac:dyDescent="0.2">
      <c r="A36" s="55" t="s">
        <v>329</v>
      </c>
      <c r="B36" s="56" t="s">
        <v>330</v>
      </c>
      <c r="C36" s="77">
        <v>1208.0899999999999</v>
      </c>
      <c r="E36" s="77">
        <v>444.77</v>
      </c>
      <c r="G36" s="77">
        <v>1886.91</v>
      </c>
      <c r="I36" s="77">
        <v>19250</v>
      </c>
      <c r="K36" s="77">
        <v>19250</v>
      </c>
      <c r="M36" s="77">
        <v>18920.810000000001</v>
      </c>
      <c r="O36" s="77">
        <f t="shared" si="10"/>
        <v>0</v>
      </c>
      <c r="Q36" s="77">
        <f t="shared" si="5"/>
        <v>18920.810000000001</v>
      </c>
      <c r="S36" s="77">
        <v>15000</v>
      </c>
      <c r="U36" s="77">
        <v>21000</v>
      </c>
      <c r="W36" s="77">
        <v>21000</v>
      </c>
      <c r="Y36" s="77">
        <f t="shared" si="6"/>
        <v>1750</v>
      </c>
      <c r="Z36" s="57"/>
      <c r="AA36" s="58">
        <f t="shared" si="7"/>
        <v>9.0909090909090912E-2</v>
      </c>
      <c r="AB36" s="57"/>
      <c r="AC36" s="77">
        <f t="shared" si="8"/>
        <v>2079.1899999999987</v>
      </c>
      <c r="AD36" s="57"/>
      <c r="AE36" s="58">
        <f t="shared" si="9"/>
        <v>0.10988905866080778</v>
      </c>
      <c r="AF36" s="57"/>
      <c r="AH36" s="57"/>
      <c r="AI36" s="57"/>
      <c r="AJ36" s="57"/>
    </row>
    <row r="37" spans="1:36" x14ac:dyDescent="0.2">
      <c r="A37" s="59" t="s">
        <v>331</v>
      </c>
      <c r="B37" s="60" t="s">
        <v>332</v>
      </c>
      <c r="C37" s="79">
        <v>3572.78</v>
      </c>
      <c r="D37" s="80"/>
      <c r="E37" s="79">
        <v>8254.0300000000007</v>
      </c>
      <c r="F37" s="80"/>
      <c r="G37" s="79">
        <v>9183.52</v>
      </c>
      <c r="H37" s="79"/>
      <c r="I37" s="79">
        <v>12000</v>
      </c>
      <c r="J37" s="79"/>
      <c r="K37" s="79">
        <v>12000</v>
      </c>
      <c r="L37" s="79"/>
      <c r="M37" s="79">
        <v>11100.09</v>
      </c>
      <c r="N37" s="79"/>
      <c r="O37" s="79">
        <f t="shared" si="10"/>
        <v>0</v>
      </c>
      <c r="P37" s="79"/>
      <c r="Q37" s="79">
        <f t="shared" si="5"/>
        <v>11100.09</v>
      </c>
      <c r="R37" s="79"/>
      <c r="S37" s="79">
        <v>12500</v>
      </c>
      <c r="T37" s="79"/>
      <c r="U37" s="79">
        <v>16000</v>
      </c>
      <c r="V37" s="79"/>
      <c r="W37" s="79">
        <v>16000</v>
      </c>
      <c r="X37" s="79"/>
      <c r="Y37" s="79">
        <f t="shared" si="6"/>
        <v>4000</v>
      </c>
      <c r="Z37" s="62"/>
      <c r="AA37" s="63">
        <f t="shared" si="7"/>
        <v>0.33333333333333331</v>
      </c>
      <c r="AB37" s="62"/>
      <c r="AC37" s="79">
        <f t="shared" si="8"/>
        <v>4899.91</v>
      </c>
      <c r="AD37" s="62"/>
      <c r="AE37" s="63">
        <f t="shared" si="9"/>
        <v>0.44142975417316438</v>
      </c>
      <c r="AF37" s="57"/>
      <c r="AH37" s="57"/>
      <c r="AI37" s="57"/>
      <c r="AJ37" s="57"/>
    </row>
    <row r="38" spans="1:36" x14ac:dyDescent="0.2">
      <c r="A38" s="55" t="s">
        <v>333</v>
      </c>
      <c r="B38" s="56" t="s">
        <v>334</v>
      </c>
      <c r="C38" s="77">
        <v>93049.04</v>
      </c>
      <c r="E38" s="77">
        <v>95248.16</v>
      </c>
      <c r="G38" s="77">
        <v>112765</v>
      </c>
      <c r="I38" s="77">
        <v>120000</v>
      </c>
      <c r="K38" s="77">
        <v>120000</v>
      </c>
      <c r="M38" s="77">
        <v>115778.36</v>
      </c>
      <c r="O38" s="77">
        <v>0</v>
      </c>
      <c r="Q38" s="77">
        <f t="shared" si="5"/>
        <v>115778.36</v>
      </c>
      <c r="S38" s="77">
        <v>120000</v>
      </c>
      <c r="U38" s="77">
        <v>127500</v>
      </c>
      <c r="W38" s="77">
        <v>127500</v>
      </c>
      <c r="Y38" s="77">
        <f t="shared" si="6"/>
        <v>7500</v>
      </c>
      <c r="Z38" s="57"/>
      <c r="AA38" s="58">
        <f t="shared" si="7"/>
        <v>6.25E-2</v>
      </c>
      <c r="AB38" s="57"/>
      <c r="AC38" s="77">
        <f t="shared" si="8"/>
        <v>11721.64</v>
      </c>
      <c r="AD38" s="57"/>
      <c r="AE38" s="58">
        <f t="shared" si="9"/>
        <v>0.10124206285181446</v>
      </c>
      <c r="AF38" s="57"/>
      <c r="AG38" s="56" t="s">
        <v>1048</v>
      </c>
      <c r="AH38" s="57"/>
      <c r="AI38" s="57"/>
      <c r="AJ38" s="57"/>
    </row>
    <row r="39" spans="1:36" x14ac:dyDescent="0.2">
      <c r="A39" s="59" t="s">
        <v>335</v>
      </c>
      <c r="B39" s="60" t="s">
        <v>336</v>
      </c>
      <c r="C39" s="79">
        <v>124333.5</v>
      </c>
      <c r="D39" s="80"/>
      <c r="E39" s="79">
        <v>149315.14000000001</v>
      </c>
      <c r="F39" s="80"/>
      <c r="G39" s="79">
        <v>136024.5</v>
      </c>
      <c r="H39" s="79"/>
      <c r="I39" s="79">
        <v>157000</v>
      </c>
      <c r="J39" s="79"/>
      <c r="K39" s="79">
        <v>157000</v>
      </c>
      <c r="L39" s="79"/>
      <c r="M39" s="79">
        <v>155877.79999999999</v>
      </c>
      <c r="N39" s="79"/>
      <c r="O39" s="79">
        <v>0</v>
      </c>
      <c r="P39" s="79"/>
      <c r="Q39" s="79">
        <f t="shared" si="5"/>
        <v>155877.79999999999</v>
      </c>
      <c r="R39" s="79"/>
      <c r="S39" s="79">
        <v>155000</v>
      </c>
      <c r="T39" s="79"/>
      <c r="U39" s="79">
        <v>155000</v>
      </c>
      <c r="V39" s="79"/>
      <c r="W39" s="79">
        <v>157000</v>
      </c>
      <c r="X39" s="79"/>
      <c r="Y39" s="79">
        <f t="shared" si="6"/>
        <v>0</v>
      </c>
      <c r="Z39" s="62"/>
      <c r="AA39" s="63">
        <f t="shared" si="7"/>
        <v>0</v>
      </c>
      <c r="AB39" s="62"/>
      <c r="AC39" s="79">
        <f t="shared" si="8"/>
        <v>1122.2000000000116</v>
      </c>
      <c r="AD39" s="62"/>
      <c r="AE39" s="63">
        <f t="shared" si="9"/>
        <v>7.1992291397492891E-3</v>
      </c>
      <c r="AF39" s="57"/>
      <c r="AH39" s="57"/>
      <c r="AI39" s="57"/>
      <c r="AJ39" s="57"/>
    </row>
    <row r="40" spans="1:36" x14ac:dyDescent="0.2">
      <c r="A40" s="55" t="s">
        <v>337</v>
      </c>
      <c r="B40" s="56" t="s">
        <v>338</v>
      </c>
      <c r="C40" s="77">
        <v>61938</v>
      </c>
      <c r="E40" s="77">
        <v>87260</v>
      </c>
      <c r="G40" s="77">
        <v>107660.31</v>
      </c>
      <c r="I40" s="77">
        <v>93500</v>
      </c>
      <c r="K40" s="77">
        <v>93500</v>
      </c>
      <c r="M40" s="77">
        <v>124695.47</v>
      </c>
      <c r="O40" s="77">
        <f>PRODUCT(M40,0/12)</f>
        <v>0</v>
      </c>
      <c r="Q40" s="77">
        <f t="shared" si="5"/>
        <v>124695.47</v>
      </c>
      <c r="S40" s="77">
        <v>110000</v>
      </c>
      <c r="U40" s="77">
        <v>100000</v>
      </c>
      <c r="W40" s="77">
        <v>100000</v>
      </c>
      <c r="Y40" s="77">
        <f t="shared" si="6"/>
        <v>6500</v>
      </c>
      <c r="Z40" s="57"/>
      <c r="AA40" s="58">
        <f t="shared" si="7"/>
        <v>6.9518716577540107E-2</v>
      </c>
      <c r="AB40" s="57"/>
      <c r="AC40" s="77">
        <f t="shared" si="8"/>
        <v>-24695.47</v>
      </c>
      <c r="AD40" s="57"/>
      <c r="AE40" s="58">
        <f t="shared" si="9"/>
        <v>-0.19804624819169456</v>
      </c>
      <c r="AF40" s="57"/>
      <c r="AH40" s="57"/>
      <c r="AI40" s="57"/>
      <c r="AJ40" s="57"/>
    </row>
    <row r="41" spans="1:36" x14ac:dyDescent="0.2">
      <c r="A41" s="59" t="s">
        <v>339</v>
      </c>
      <c r="B41" s="60" t="s">
        <v>340</v>
      </c>
      <c r="C41" s="79">
        <v>10000</v>
      </c>
      <c r="D41" s="80"/>
      <c r="E41" s="79">
        <v>0</v>
      </c>
      <c r="F41" s="80"/>
      <c r="G41" s="79">
        <v>12500</v>
      </c>
      <c r="H41" s="79"/>
      <c r="I41" s="79">
        <v>12500</v>
      </c>
      <c r="J41" s="79"/>
      <c r="K41" s="79">
        <v>12500</v>
      </c>
      <c r="L41" s="79"/>
      <c r="M41" s="79">
        <v>12875</v>
      </c>
      <c r="N41" s="79"/>
      <c r="O41" s="79">
        <v>0</v>
      </c>
      <c r="P41" s="79"/>
      <c r="Q41" s="79">
        <f t="shared" si="5"/>
        <v>12875</v>
      </c>
      <c r="R41" s="79"/>
      <c r="S41" s="79">
        <v>12500</v>
      </c>
      <c r="T41" s="79"/>
      <c r="U41" s="79">
        <v>12500</v>
      </c>
      <c r="V41" s="79"/>
      <c r="W41" s="79">
        <v>13500</v>
      </c>
      <c r="X41" s="79"/>
      <c r="Y41" s="79">
        <f t="shared" si="6"/>
        <v>1000</v>
      </c>
      <c r="Z41" s="62"/>
      <c r="AA41" s="63">
        <f t="shared" si="7"/>
        <v>0.08</v>
      </c>
      <c r="AB41" s="62"/>
      <c r="AC41" s="79">
        <f t="shared" si="8"/>
        <v>625</v>
      </c>
      <c r="AD41" s="62"/>
      <c r="AE41" s="63">
        <f t="shared" si="9"/>
        <v>4.8543689320388349E-2</v>
      </c>
      <c r="AF41" s="57"/>
      <c r="AG41" s="56" t="s">
        <v>1441</v>
      </c>
      <c r="AH41" s="57"/>
      <c r="AI41" s="57"/>
      <c r="AJ41" s="57"/>
    </row>
    <row r="42" spans="1:36" x14ac:dyDescent="0.2">
      <c r="A42" s="64" t="s">
        <v>49</v>
      </c>
      <c r="C42" s="81">
        <f>SUM(C17:C41)</f>
        <v>781182.16</v>
      </c>
      <c r="E42" s="81">
        <f>SUM(E17:E41)</f>
        <v>830023.83000000007</v>
      </c>
      <c r="G42" s="81">
        <f>SUM(G17:G41)</f>
        <v>977086.98000000021</v>
      </c>
      <c r="I42" s="81">
        <f>SUM(I17:I41)</f>
        <v>1425750</v>
      </c>
      <c r="K42" s="81">
        <f>SUM(K17:K41)</f>
        <v>1425750</v>
      </c>
      <c r="M42" s="81">
        <f>SUM(M17:M41)</f>
        <v>932288.94</v>
      </c>
      <c r="O42" s="81">
        <f>SUM(O17:O41)</f>
        <v>0</v>
      </c>
      <c r="Q42" s="81">
        <f>SUM(Q17:Q41)</f>
        <v>932288.94</v>
      </c>
      <c r="S42" s="81">
        <f>SUM(S17:S41)</f>
        <v>1249500</v>
      </c>
      <c r="U42" s="81">
        <f>SUM(U17:U41)</f>
        <v>1338000</v>
      </c>
      <c r="W42" s="81">
        <f>SUM(W17:W41)</f>
        <v>1341000</v>
      </c>
      <c r="Y42" s="81">
        <f>SUM(Y17:Y41)</f>
        <v>-84750</v>
      </c>
      <c r="Z42" s="57"/>
      <c r="AA42" s="65">
        <f t="shared" si="7"/>
        <v>-5.9442398737506577E-2</v>
      </c>
      <c r="AB42" s="57"/>
      <c r="AC42" s="81">
        <f>SUM(AC17:AC41)</f>
        <v>408711.05999999994</v>
      </c>
      <c r="AD42" s="57"/>
      <c r="AE42" s="65">
        <f t="shared" si="9"/>
        <v>0.43839526831670872</v>
      </c>
      <c r="AF42" s="57"/>
      <c r="AH42" s="57"/>
      <c r="AI42" s="57"/>
      <c r="AJ42" s="57"/>
    </row>
    <row r="43" spans="1:36" x14ac:dyDescent="0.2">
      <c r="Z43" s="57"/>
      <c r="AA43" s="58"/>
      <c r="AB43" s="57"/>
      <c r="AD43" s="57"/>
      <c r="AE43" s="58"/>
      <c r="AF43" s="57"/>
      <c r="AH43" s="57"/>
      <c r="AI43" s="57"/>
      <c r="AJ43" s="57"/>
    </row>
    <row r="44" spans="1:36" x14ac:dyDescent="0.2">
      <c r="A44" s="54" t="s">
        <v>65</v>
      </c>
      <c r="Z44" s="57"/>
      <c r="AA44" s="58"/>
      <c r="AB44" s="57"/>
      <c r="AD44" s="57"/>
      <c r="AE44" s="58"/>
      <c r="AF44" s="57"/>
      <c r="AH44" s="57"/>
      <c r="AI44" s="57"/>
      <c r="AJ44" s="57"/>
    </row>
    <row r="45" spans="1:36" x14ac:dyDescent="0.2">
      <c r="A45" s="55" t="s">
        <v>341</v>
      </c>
      <c r="B45" s="56" t="s">
        <v>342</v>
      </c>
      <c r="C45" s="77">
        <v>56955.79</v>
      </c>
      <c r="E45" s="77">
        <v>66693</v>
      </c>
      <c r="G45" s="77">
        <v>68487.679999999993</v>
      </c>
      <c r="I45" s="77">
        <v>70000</v>
      </c>
      <c r="K45" s="77">
        <v>70000</v>
      </c>
      <c r="M45" s="77">
        <v>77224.240000000005</v>
      </c>
      <c r="O45" s="77">
        <f>PRODUCT(M45,0/12)</f>
        <v>0</v>
      </c>
      <c r="Q45" s="77">
        <f>SUM(M45,O45)</f>
        <v>77224.240000000005</v>
      </c>
      <c r="S45" s="77">
        <v>70000</v>
      </c>
      <c r="U45" s="77">
        <v>80000</v>
      </c>
      <c r="W45" s="77">
        <v>80000</v>
      </c>
      <c r="Y45" s="77">
        <f>SUM(W45,-I45)</f>
        <v>10000</v>
      </c>
      <c r="Z45" s="57"/>
      <c r="AA45" s="58">
        <f>IF(W45=0,"N/A",PRODUCT(Y45,1/I45))</f>
        <v>0.14285714285714285</v>
      </c>
      <c r="AB45" s="57"/>
      <c r="AC45" s="77">
        <f>SUM(W45,-Q45)</f>
        <v>2775.7599999999948</v>
      </c>
      <c r="AD45" s="57"/>
      <c r="AE45" s="58">
        <f>IF(W45=0,"N/A",PRODUCT(AC45,1/Q45))</f>
        <v>3.5944154322528711E-2</v>
      </c>
      <c r="AF45" s="57"/>
      <c r="AH45" s="57"/>
      <c r="AI45" s="57"/>
      <c r="AJ45" s="57"/>
    </row>
    <row r="46" spans="1:36" x14ac:dyDescent="0.2">
      <c r="A46" s="59" t="s">
        <v>441</v>
      </c>
      <c r="B46" s="60" t="s">
        <v>343</v>
      </c>
      <c r="C46" s="79">
        <v>19977.189999999999</v>
      </c>
      <c r="D46" s="80"/>
      <c r="E46" s="79">
        <v>24642.94</v>
      </c>
      <c r="F46" s="80"/>
      <c r="G46" s="79">
        <v>36912.410000000003</v>
      </c>
      <c r="H46" s="79"/>
      <c r="I46" s="79">
        <v>36500</v>
      </c>
      <c r="J46" s="79"/>
      <c r="K46" s="79">
        <v>60000</v>
      </c>
      <c r="L46" s="79"/>
      <c r="M46" s="79">
        <v>81731.039999999994</v>
      </c>
      <c r="N46" s="79"/>
      <c r="O46" s="79">
        <f>PRODUCT(M46,0/12)</f>
        <v>0</v>
      </c>
      <c r="P46" s="79"/>
      <c r="Q46" s="79">
        <f>SUM(M46,O46)</f>
        <v>81731.039999999994</v>
      </c>
      <c r="R46" s="79"/>
      <c r="S46" s="79">
        <v>60000</v>
      </c>
      <c r="T46" s="79"/>
      <c r="U46" s="79">
        <v>70000</v>
      </c>
      <c r="V46" s="79"/>
      <c r="W46" s="79">
        <v>70000</v>
      </c>
      <c r="X46" s="79"/>
      <c r="Y46" s="79">
        <f>SUM(W46,-I46)</f>
        <v>33500</v>
      </c>
      <c r="Z46" s="62"/>
      <c r="AA46" s="63">
        <f>IF(W46=0,"N/A",PRODUCT(Y46,1/I46))</f>
        <v>0.9178082191780822</v>
      </c>
      <c r="AB46" s="62"/>
      <c r="AC46" s="79">
        <f>SUM(W46,-Q46)</f>
        <v>-11731.039999999994</v>
      </c>
      <c r="AD46" s="62"/>
      <c r="AE46" s="63">
        <f>IF(W46=0,"N/A",PRODUCT(AC46,1/Q46))</f>
        <v>-0.14353224919198379</v>
      </c>
      <c r="AF46" s="57"/>
      <c r="AH46" s="57"/>
      <c r="AI46" s="57"/>
      <c r="AJ46" s="57"/>
    </row>
    <row r="47" spans="1:36" x14ac:dyDescent="0.2">
      <c r="A47" s="64" t="s">
        <v>66</v>
      </c>
      <c r="C47" s="81">
        <f>SUM(C45:C46)</f>
        <v>76932.98</v>
      </c>
      <c r="E47" s="81">
        <f>SUM(E45:E46)</f>
        <v>91335.94</v>
      </c>
      <c r="G47" s="81">
        <f>SUM(G45:G46)</f>
        <v>105400.09</v>
      </c>
      <c r="I47" s="81">
        <f>SUM(I45:I46)</f>
        <v>106500</v>
      </c>
      <c r="K47" s="81">
        <f>SUM(K45:K46)</f>
        <v>130000</v>
      </c>
      <c r="M47" s="81">
        <f>SUM(M45:M46)</f>
        <v>158955.28</v>
      </c>
      <c r="O47" s="81">
        <f>SUM(O45:O46)</f>
        <v>0</v>
      </c>
      <c r="Q47" s="81">
        <f>SUM(Q45:Q46)</f>
        <v>158955.28</v>
      </c>
      <c r="S47" s="81">
        <f>SUM(S45:S46)</f>
        <v>130000</v>
      </c>
      <c r="U47" s="81">
        <f>SUM(U45:U46)</f>
        <v>150000</v>
      </c>
      <c r="W47" s="81">
        <f>SUM(W45:W46)</f>
        <v>150000</v>
      </c>
      <c r="Y47" s="81">
        <f>SUM(Y45:Y46)</f>
        <v>43500</v>
      </c>
      <c r="Z47" s="57"/>
      <c r="AA47" s="65">
        <f>IF(W47=0,"N/A",PRODUCT(Y47,1/I47))</f>
        <v>0.40845070422535212</v>
      </c>
      <c r="AB47" s="57"/>
      <c r="AC47" s="81">
        <f>SUM(AC45:AC46)</f>
        <v>-8955.2799999999988</v>
      </c>
      <c r="AD47" s="57"/>
      <c r="AE47" s="65">
        <f>IF(W47=0,"N/A",PRODUCT(AC47,1/Q47))</f>
        <v>-5.633836133030623E-2</v>
      </c>
      <c r="AF47" s="57"/>
      <c r="AH47" s="57"/>
      <c r="AI47" s="57"/>
      <c r="AJ47" s="57"/>
    </row>
    <row r="48" spans="1:36" x14ac:dyDescent="0.2">
      <c r="Z48" s="57"/>
      <c r="AA48" s="58"/>
      <c r="AB48" s="57"/>
      <c r="AD48" s="57"/>
      <c r="AE48" s="58"/>
      <c r="AF48" s="57"/>
      <c r="AH48" s="57"/>
      <c r="AI48" s="57"/>
      <c r="AJ48" s="57"/>
    </row>
    <row r="49" spans="1:36" x14ac:dyDescent="0.2">
      <c r="A49" s="54" t="s">
        <v>69</v>
      </c>
      <c r="Z49" s="57"/>
      <c r="AA49" s="58"/>
      <c r="AB49" s="57"/>
      <c r="AD49" s="57"/>
      <c r="AE49" s="58"/>
      <c r="AF49" s="57"/>
      <c r="AH49" s="57"/>
      <c r="AI49" s="57"/>
      <c r="AJ49" s="57"/>
    </row>
    <row r="50" spans="1:36" x14ac:dyDescent="0.2">
      <c r="A50" s="59" t="s">
        <v>344</v>
      </c>
      <c r="B50" s="60" t="s">
        <v>345</v>
      </c>
      <c r="C50" s="79">
        <v>660.98</v>
      </c>
      <c r="D50" s="80"/>
      <c r="E50" s="79">
        <v>814.11</v>
      </c>
      <c r="F50" s="80"/>
      <c r="G50" s="79">
        <v>2919.13</v>
      </c>
      <c r="H50" s="79"/>
      <c r="I50" s="79">
        <v>3000</v>
      </c>
      <c r="J50" s="79"/>
      <c r="K50" s="79">
        <v>3000</v>
      </c>
      <c r="L50" s="79"/>
      <c r="M50" s="79">
        <v>4258.6099999999997</v>
      </c>
      <c r="N50" s="79"/>
      <c r="O50" s="79">
        <f t="shared" ref="O50:O64" si="11">PRODUCT(M50,0/12)</f>
        <v>0</v>
      </c>
      <c r="P50" s="79"/>
      <c r="Q50" s="79">
        <f t="shared" ref="Q50:Q78" si="12">SUM(M50,O50)</f>
        <v>4258.6099999999997</v>
      </c>
      <c r="R50" s="79"/>
      <c r="S50" s="79">
        <v>3500</v>
      </c>
      <c r="T50" s="79"/>
      <c r="U50" s="79">
        <v>4500</v>
      </c>
      <c r="V50" s="79"/>
      <c r="W50" s="79">
        <v>4500</v>
      </c>
      <c r="X50" s="79"/>
      <c r="Y50" s="79">
        <f t="shared" ref="Y50:Y78" si="13">SUM(W50,-I50)</f>
        <v>1500</v>
      </c>
      <c r="Z50" s="62"/>
      <c r="AA50" s="63">
        <f t="shared" ref="AA50:AA79" si="14">IF(W50=0,"N/A",PRODUCT(Y50,1/I50))</f>
        <v>0.5</v>
      </c>
      <c r="AB50" s="62"/>
      <c r="AC50" s="79">
        <f t="shared" ref="AC50:AC78" si="15">SUM(W50,-Q50)</f>
        <v>241.39000000000033</v>
      </c>
      <c r="AD50" s="62"/>
      <c r="AE50" s="63">
        <f t="shared" ref="AE50:AE79" si="16">IF(W50=0,"N/A",PRODUCT(AC50,1/Q50))</f>
        <v>5.6682814345525967E-2</v>
      </c>
      <c r="AF50" s="57"/>
      <c r="AH50" s="57"/>
      <c r="AI50" s="57"/>
      <c r="AJ50" s="57"/>
    </row>
    <row r="51" spans="1:36" x14ac:dyDescent="0.2">
      <c r="A51" s="55" t="s">
        <v>346</v>
      </c>
      <c r="B51" s="56" t="s">
        <v>347</v>
      </c>
      <c r="C51" s="77">
        <v>28389.42</v>
      </c>
      <c r="E51" s="77">
        <v>9124.75</v>
      </c>
      <c r="G51" s="77">
        <v>11544.49</v>
      </c>
      <c r="I51" s="77">
        <v>10000</v>
      </c>
      <c r="K51" s="77">
        <v>10000</v>
      </c>
      <c r="M51" s="77">
        <v>16315.35</v>
      </c>
      <c r="O51" s="77">
        <f t="shared" si="11"/>
        <v>0</v>
      </c>
      <c r="Q51" s="77">
        <f t="shared" si="12"/>
        <v>16315.35</v>
      </c>
      <c r="S51" s="77">
        <v>10000</v>
      </c>
      <c r="U51" s="77">
        <v>13000</v>
      </c>
      <c r="W51" s="77">
        <v>13000</v>
      </c>
      <c r="Y51" s="77">
        <f t="shared" si="13"/>
        <v>3000</v>
      </c>
      <c r="Z51" s="57"/>
      <c r="AA51" s="58">
        <f t="shared" si="14"/>
        <v>0.3</v>
      </c>
      <c r="AB51" s="57"/>
      <c r="AC51" s="77">
        <f t="shared" si="15"/>
        <v>-3315.3500000000004</v>
      </c>
      <c r="AD51" s="57"/>
      <c r="AE51" s="58">
        <f t="shared" si="16"/>
        <v>-0.20320434437508236</v>
      </c>
      <c r="AF51" s="57"/>
      <c r="AG51" s="56" t="s">
        <v>991</v>
      </c>
      <c r="AH51" s="57"/>
      <c r="AI51" s="57"/>
      <c r="AJ51" s="57"/>
    </row>
    <row r="52" spans="1:36" x14ac:dyDescent="0.2">
      <c r="A52" s="59" t="s">
        <v>348</v>
      </c>
      <c r="B52" s="60" t="s">
        <v>227</v>
      </c>
      <c r="C52" s="79">
        <v>26928.48</v>
      </c>
      <c r="D52" s="80"/>
      <c r="E52" s="79">
        <v>4095.73</v>
      </c>
      <c r="F52" s="80"/>
      <c r="G52" s="79">
        <v>0</v>
      </c>
      <c r="H52" s="79"/>
      <c r="I52" s="79">
        <v>0</v>
      </c>
      <c r="J52" s="79"/>
      <c r="K52" s="79">
        <v>0</v>
      </c>
      <c r="L52" s="79"/>
      <c r="M52" s="79">
        <v>0</v>
      </c>
      <c r="N52" s="79"/>
      <c r="O52" s="79">
        <f t="shared" si="11"/>
        <v>0</v>
      </c>
      <c r="P52" s="79"/>
      <c r="Q52" s="79">
        <f t="shared" si="12"/>
        <v>0</v>
      </c>
      <c r="R52" s="79"/>
      <c r="S52" s="79">
        <v>0</v>
      </c>
      <c r="T52" s="79"/>
      <c r="U52" s="79">
        <v>0</v>
      </c>
      <c r="V52" s="79"/>
      <c r="W52" s="79">
        <v>0</v>
      </c>
      <c r="X52" s="79"/>
      <c r="Y52" s="79">
        <f t="shared" si="13"/>
        <v>0</v>
      </c>
      <c r="Z52" s="62"/>
      <c r="AA52" s="63" t="str">
        <f t="shared" si="14"/>
        <v>N/A</v>
      </c>
      <c r="AB52" s="62"/>
      <c r="AC52" s="79">
        <f t="shared" si="15"/>
        <v>0</v>
      </c>
      <c r="AD52" s="62"/>
      <c r="AE52" s="63" t="str">
        <f t="shared" si="16"/>
        <v>N/A</v>
      </c>
      <c r="AF52" s="57"/>
      <c r="AH52" s="57"/>
      <c r="AI52" s="57"/>
      <c r="AJ52" s="57"/>
    </row>
    <row r="53" spans="1:36" x14ac:dyDescent="0.2">
      <c r="A53" s="55" t="s">
        <v>349</v>
      </c>
      <c r="B53" s="56" t="s">
        <v>228</v>
      </c>
      <c r="C53" s="77">
        <v>4986.05</v>
      </c>
      <c r="E53" s="77">
        <v>6181.14</v>
      </c>
      <c r="G53" s="77">
        <v>6139.41</v>
      </c>
      <c r="I53" s="77">
        <v>7000</v>
      </c>
      <c r="K53" s="77">
        <v>7000</v>
      </c>
      <c r="M53" s="77">
        <v>5292.87</v>
      </c>
      <c r="O53" s="77">
        <f t="shared" si="11"/>
        <v>0</v>
      </c>
      <c r="Q53" s="77">
        <f t="shared" si="12"/>
        <v>5292.87</v>
      </c>
      <c r="S53" s="77">
        <v>7000</v>
      </c>
      <c r="U53" s="77">
        <v>7000</v>
      </c>
      <c r="W53" s="77">
        <v>7000</v>
      </c>
      <c r="Y53" s="77">
        <f t="shared" si="13"/>
        <v>0</v>
      </c>
      <c r="Z53" s="57"/>
      <c r="AA53" s="58">
        <f t="shared" si="14"/>
        <v>0</v>
      </c>
      <c r="AB53" s="57"/>
      <c r="AC53" s="77">
        <f t="shared" si="15"/>
        <v>1707.13</v>
      </c>
      <c r="AD53" s="57"/>
      <c r="AE53" s="58">
        <f t="shared" si="16"/>
        <v>0.32253389937784227</v>
      </c>
      <c r="AF53" s="57"/>
      <c r="AH53" s="57"/>
      <c r="AI53" s="57"/>
      <c r="AJ53" s="57"/>
    </row>
    <row r="54" spans="1:36" x14ac:dyDescent="0.2">
      <c r="A54" s="59" t="s">
        <v>350</v>
      </c>
      <c r="B54" s="60" t="s">
        <v>351</v>
      </c>
      <c r="C54" s="79">
        <v>28445.82</v>
      </c>
      <c r="D54" s="80"/>
      <c r="E54" s="79">
        <v>26567.8</v>
      </c>
      <c r="F54" s="80"/>
      <c r="G54" s="79">
        <v>27793.64</v>
      </c>
      <c r="H54" s="79"/>
      <c r="I54" s="79">
        <v>25700</v>
      </c>
      <c r="J54" s="79"/>
      <c r="K54" s="79">
        <v>25700</v>
      </c>
      <c r="L54" s="79"/>
      <c r="M54" s="79">
        <v>28286.07</v>
      </c>
      <c r="N54" s="79"/>
      <c r="O54" s="79">
        <f t="shared" si="11"/>
        <v>0</v>
      </c>
      <c r="P54" s="79"/>
      <c r="Q54" s="79">
        <f t="shared" si="12"/>
        <v>28286.07</v>
      </c>
      <c r="R54" s="79"/>
      <c r="S54" s="79">
        <v>26000</v>
      </c>
      <c r="T54" s="79"/>
      <c r="U54" s="79">
        <v>28000</v>
      </c>
      <c r="V54" s="79"/>
      <c r="W54" s="79">
        <v>28000</v>
      </c>
      <c r="X54" s="79"/>
      <c r="Y54" s="79">
        <f t="shared" si="13"/>
        <v>2300</v>
      </c>
      <c r="Z54" s="62"/>
      <c r="AA54" s="63">
        <f t="shared" si="14"/>
        <v>8.9494163424124515E-2</v>
      </c>
      <c r="AB54" s="62"/>
      <c r="AC54" s="79">
        <f t="shared" si="15"/>
        <v>-286.06999999999971</v>
      </c>
      <c r="AD54" s="62"/>
      <c r="AE54" s="63">
        <f t="shared" si="16"/>
        <v>-1.011345867418131E-2</v>
      </c>
      <c r="AF54" s="57"/>
      <c r="AG54" s="56" t="s">
        <v>992</v>
      </c>
      <c r="AH54" s="57"/>
      <c r="AI54" s="57"/>
      <c r="AJ54" s="57"/>
    </row>
    <row r="55" spans="1:36" x14ac:dyDescent="0.2">
      <c r="A55" s="55" t="s">
        <v>352</v>
      </c>
      <c r="B55" s="56" t="s">
        <v>353</v>
      </c>
      <c r="C55" s="77">
        <v>0</v>
      </c>
      <c r="E55" s="77">
        <v>7595.55</v>
      </c>
      <c r="G55" s="77">
        <v>8944.06</v>
      </c>
      <c r="I55" s="77">
        <v>9000</v>
      </c>
      <c r="K55" s="77">
        <v>9000</v>
      </c>
      <c r="M55" s="77">
        <v>9734.52</v>
      </c>
      <c r="O55" s="77">
        <f t="shared" si="11"/>
        <v>0</v>
      </c>
      <c r="Q55" s="77">
        <f t="shared" si="12"/>
        <v>9734.52</v>
      </c>
      <c r="S55" s="77">
        <v>9000</v>
      </c>
      <c r="U55" s="77">
        <v>9000</v>
      </c>
      <c r="W55" s="77">
        <v>9000</v>
      </c>
      <c r="Y55" s="77">
        <f t="shared" si="13"/>
        <v>0</v>
      </c>
      <c r="Z55" s="57"/>
      <c r="AA55" s="58">
        <f t="shared" si="14"/>
        <v>0</v>
      </c>
      <c r="AB55" s="57"/>
      <c r="AC55" s="77">
        <f t="shared" si="15"/>
        <v>-734.52000000000044</v>
      </c>
      <c r="AD55" s="57"/>
      <c r="AE55" s="58">
        <f t="shared" si="16"/>
        <v>-7.5455184230963659E-2</v>
      </c>
      <c r="AF55" s="57"/>
      <c r="AH55" s="57"/>
      <c r="AI55" s="57"/>
      <c r="AJ55" s="57"/>
    </row>
    <row r="56" spans="1:36" x14ac:dyDescent="0.2">
      <c r="A56" s="59" t="s">
        <v>354</v>
      </c>
      <c r="B56" s="60" t="s">
        <v>1299</v>
      </c>
      <c r="C56" s="79">
        <v>45715.77</v>
      </c>
      <c r="D56" s="80"/>
      <c r="E56" s="79">
        <v>44366.12</v>
      </c>
      <c r="F56" s="80"/>
      <c r="G56" s="79">
        <v>49682.89</v>
      </c>
      <c r="H56" s="79"/>
      <c r="I56" s="79">
        <v>53000</v>
      </c>
      <c r="J56" s="79"/>
      <c r="K56" s="79">
        <v>53000</v>
      </c>
      <c r="L56" s="79"/>
      <c r="M56" s="79">
        <v>48041.2</v>
      </c>
      <c r="N56" s="79"/>
      <c r="O56" s="79">
        <f t="shared" si="11"/>
        <v>0</v>
      </c>
      <c r="P56" s="79"/>
      <c r="Q56" s="79">
        <f t="shared" si="12"/>
        <v>48041.2</v>
      </c>
      <c r="R56" s="79"/>
      <c r="S56" s="79">
        <v>52500</v>
      </c>
      <c r="T56" s="79"/>
      <c r="U56" s="79">
        <v>52500</v>
      </c>
      <c r="V56" s="79"/>
      <c r="W56" s="79">
        <v>52500</v>
      </c>
      <c r="X56" s="79"/>
      <c r="Y56" s="79">
        <f t="shared" si="13"/>
        <v>-500</v>
      </c>
      <c r="Z56" s="62"/>
      <c r="AA56" s="63">
        <f t="shared" si="14"/>
        <v>-9.4339622641509448E-3</v>
      </c>
      <c r="AB56" s="62"/>
      <c r="AC56" s="79">
        <f t="shared" si="15"/>
        <v>4458.8000000000029</v>
      </c>
      <c r="AD56" s="62"/>
      <c r="AE56" s="63">
        <f t="shared" si="16"/>
        <v>9.2812003030732032E-2</v>
      </c>
      <c r="AF56" s="57"/>
      <c r="AH56" s="57"/>
      <c r="AI56" s="57"/>
      <c r="AJ56" s="57"/>
    </row>
    <row r="57" spans="1:36" x14ac:dyDescent="0.2">
      <c r="A57" s="55" t="s">
        <v>984</v>
      </c>
      <c r="B57" s="56" t="s">
        <v>985</v>
      </c>
      <c r="C57" s="77">
        <v>0</v>
      </c>
      <c r="E57" s="77">
        <v>0</v>
      </c>
      <c r="G57" s="77">
        <v>0</v>
      </c>
      <c r="I57" s="77">
        <v>0</v>
      </c>
      <c r="K57" s="77">
        <v>0</v>
      </c>
      <c r="M57" s="77">
        <v>0</v>
      </c>
      <c r="O57" s="77">
        <f t="shared" si="11"/>
        <v>0</v>
      </c>
      <c r="Q57" s="77">
        <f t="shared" si="12"/>
        <v>0</v>
      </c>
      <c r="S57" s="77">
        <v>0</v>
      </c>
      <c r="U57" s="77">
        <v>12000</v>
      </c>
      <c r="W57" s="77">
        <v>12000</v>
      </c>
      <c r="Y57" s="77">
        <f t="shared" si="13"/>
        <v>12000</v>
      </c>
      <c r="Z57" s="57"/>
      <c r="AA57" s="58" t="e">
        <f t="shared" si="14"/>
        <v>#DIV/0!</v>
      </c>
      <c r="AB57" s="57"/>
      <c r="AC57" s="77">
        <f t="shared" si="15"/>
        <v>12000</v>
      </c>
      <c r="AD57" s="57"/>
      <c r="AE57" s="58" t="e">
        <f t="shared" si="16"/>
        <v>#DIV/0!</v>
      </c>
      <c r="AF57" s="57"/>
      <c r="AG57" s="56" t="s">
        <v>986</v>
      </c>
      <c r="AH57" s="57"/>
      <c r="AI57" s="57"/>
      <c r="AJ57" s="57"/>
    </row>
    <row r="58" spans="1:36" x14ac:dyDescent="0.2">
      <c r="A58" s="59" t="s">
        <v>355</v>
      </c>
      <c r="B58" s="60" t="s">
        <v>1314</v>
      </c>
      <c r="C58" s="79">
        <v>6000</v>
      </c>
      <c r="D58" s="80"/>
      <c r="E58" s="79">
        <v>0</v>
      </c>
      <c r="F58" s="80"/>
      <c r="G58" s="79">
        <v>0</v>
      </c>
      <c r="H58" s="79"/>
      <c r="I58" s="79">
        <v>0</v>
      </c>
      <c r="J58" s="79"/>
      <c r="K58" s="79">
        <v>0</v>
      </c>
      <c r="L58" s="79"/>
      <c r="M58" s="79">
        <v>0</v>
      </c>
      <c r="N58" s="79"/>
      <c r="O58" s="79">
        <f t="shared" si="11"/>
        <v>0</v>
      </c>
      <c r="P58" s="79"/>
      <c r="Q58" s="79">
        <f t="shared" si="12"/>
        <v>0</v>
      </c>
      <c r="R58" s="79"/>
      <c r="S58" s="79">
        <v>0</v>
      </c>
      <c r="T58" s="79"/>
      <c r="U58" s="79">
        <v>0</v>
      </c>
      <c r="V58" s="79"/>
      <c r="W58" s="79">
        <v>0</v>
      </c>
      <c r="X58" s="79"/>
      <c r="Y58" s="79">
        <f t="shared" si="13"/>
        <v>0</v>
      </c>
      <c r="Z58" s="62"/>
      <c r="AA58" s="63" t="str">
        <f t="shared" si="14"/>
        <v>N/A</v>
      </c>
      <c r="AB58" s="62"/>
      <c r="AC58" s="79">
        <f t="shared" si="15"/>
        <v>0</v>
      </c>
      <c r="AD58" s="62"/>
      <c r="AE58" s="63" t="str">
        <f t="shared" si="16"/>
        <v>N/A</v>
      </c>
      <c r="AF58" s="57"/>
      <c r="AG58" s="56" t="s">
        <v>1084</v>
      </c>
      <c r="AH58" s="57"/>
      <c r="AI58" s="57"/>
      <c r="AJ58" s="57"/>
    </row>
    <row r="59" spans="1:36" x14ac:dyDescent="0.2">
      <c r="A59" s="55" t="s">
        <v>356</v>
      </c>
      <c r="B59" s="56" t="s">
        <v>1315</v>
      </c>
      <c r="C59" s="77">
        <v>1500</v>
      </c>
      <c r="E59" s="77">
        <v>0</v>
      </c>
      <c r="G59" s="77">
        <v>0</v>
      </c>
      <c r="I59" s="77">
        <v>0</v>
      </c>
      <c r="K59" s="77">
        <v>0</v>
      </c>
      <c r="M59" s="77">
        <v>0</v>
      </c>
      <c r="O59" s="77">
        <f t="shared" si="11"/>
        <v>0</v>
      </c>
      <c r="Q59" s="77">
        <f t="shared" si="12"/>
        <v>0</v>
      </c>
      <c r="S59" s="77">
        <v>0</v>
      </c>
      <c r="U59" s="77">
        <v>0</v>
      </c>
      <c r="W59" s="77">
        <v>0</v>
      </c>
      <c r="Y59" s="77">
        <f t="shared" si="13"/>
        <v>0</v>
      </c>
      <c r="Z59" s="57"/>
      <c r="AA59" s="58" t="str">
        <f t="shared" si="14"/>
        <v>N/A</v>
      </c>
      <c r="AB59" s="57"/>
      <c r="AC59" s="77">
        <f t="shared" si="15"/>
        <v>0</v>
      </c>
      <c r="AD59" s="57"/>
      <c r="AE59" s="58" t="str">
        <f t="shared" si="16"/>
        <v>N/A</v>
      </c>
      <c r="AF59" s="57"/>
      <c r="AG59" s="56" t="s">
        <v>1084</v>
      </c>
      <c r="AH59" s="57"/>
      <c r="AI59" s="57"/>
      <c r="AJ59" s="57"/>
    </row>
    <row r="60" spans="1:36" x14ac:dyDescent="0.2">
      <c r="A60" s="59" t="s">
        <v>357</v>
      </c>
      <c r="B60" s="60" t="s">
        <v>1317</v>
      </c>
      <c r="C60" s="79">
        <v>11720.59</v>
      </c>
      <c r="D60" s="80"/>
      <c r="E60" s="79">
        <v>1349.99</v>
      </c>
      <c r="F60" s="80"/>
      <c r="G60" s="79">
        <v>0</v>
      </c>
      <c r="H60" s="79"/>
      <c r="I60" s="79">
        <v>0</v>
      </c>
      <c r="J60" s="79"/>
      <c r="K60" s="79">
        <v>0</v>
      </c>
      <c r="L60" s="79"/>
      <c r="M60" s="79">
        <v>0</v>
      </c>
      <c r="N60" s="79"/>
      <c r="O60" s="79">
        <f t="shared" si="11"/>
        <v>0</v>
      </c>
      <c r="P60" s="79"/>
      <c r="Q60" s="79">
        <f t="shared" si="12"/>
        <v>0</v>
      </c>
      <c r="R60" s="79"/>
      <c r="S60" s="79">
        <v>0</v>
      </c>
      <c r="T60" s="79"/>
      <c r="U60" s="79">
        <v>0</v>
      </c>
      <c r="V60" s="79"/>
      <c r="W60" s="79">
        <v>0</v>
      </c>
      <c r="X60" s="79"/>
      <c r="Y60" s="79">
        <f t="shared" si="13"/>
        <v>0</v>
      </c>
      <c r="Z60" s="62"/>
      <c r="AA60" s="63" t="str">
        <f t="shared" si="14"/>
        <v>N/A</v>
      </c>
      <c r="AB60" s="62"/>
      <c r="AC60" s="79">
        <f t="shared" si="15"/>
        <v>0</v>
      </c>
      <c r="AD60" s="62"/>
      <c r="AE60" s="63" t="str">
        <f t="shared" si="16"/>
        <v>N/A</v>
      </c>
      <c r="AF60" s="57"/>
      <c r="AG60" s="56" t="s">
        <v>1085</v>
      </c>
      <c r="AH60" s="57"/>
      <c r="AI60" s="57"/>
      <c r="AJ60" s="57"/>
    </row>
    <row r="61" spans="1:36" x14ac:dyDescent="0.2">
      <c r="A61" s="55" t="s">
        <v>358</v>
      </c>
      <c r="B61" s="56" t="s">
        <v>1318</v>
      </c>
      <c r="C61" s="77">
        <v>1650</v>
      </c>
      <c r="E61" s="77">
        <v>400</v>
      </c>
      <c r="G61" s="77">
        <v>1150</v>
      </c>
      <c r="I61" s="77">
        <v>2000</v>
      </c>
      <c r="K61" s="77">
        <v>2000</v>
      </c>
      <c r="M61" s="77">
        <v>2000</v>
      </c>
      <c r="O61" s="77">
        <f t="shared" si="11"/>
        <v>0</v>
      </c>
      <c r="Q61" s="77">
        <f t="shared" si="12"/>
        <v>2000</v>
      </c>
      <c r="S61" s="77">
        <v>1500</v>
      </c>
      <c r="U61" s="77">
        <v>2000</v>
      </c>
      <c r="W61" s="77">
        <v>2000</v>
      </c>
      <c r="Y61" s="77">
        <f t="shared" si="13"/>
        <v>0</v>
      </c>
      <c r="Z61" s="57"/>
      <c r="AA61" s="58">
        <f t="shared" si="14"/>
        <v>0</v>
      </c>
      <c r="AB61" s="57"/>
      <c r="AC61" s="77">
        <f t="shared" si="15"/>
        <v>0</v>
      </c>
      <c r="AD61" s="57"/>
      <c r="AE61" s="58">
        <f t="shared" si="16"/>
        <v>0</v>
      </c>
      <c r="AF61" s="57"/>
      <c r="AH61" s="57"/>
      <c r="AI61" s="57"/>
      <c r="AJ61" s="57"/>
    </row>
    <row r="62" spans="1:36" x14ac:dyDescent="0.2">
      <c r="A62" s="59" t="s">
        <v>359</v>
      </c>
      <c r="B62" s="60" t="s">
        <v>360</v>
      </c>
      <c r="C62" s="79">
        <v>30600</v>
      </c>
      <c r="D62" s="80"/>
      <c r="E62" s="79">
        <v>30600</v>
      </c>
      <c r="F62" s="80"/>
      <c r="G62" s="79">
        <v>30600</v>
      </c>
      <c r="H62" s="79"/>
      <c r="I62" s="79">
        <v>36000</v>
      </c>
      <c r="J62" s="79"/>
      <c r="K62" s="79">
        <v>36000</v>
      </c>
      <c r="L62" s="79"/>
      <c r="M62" s="79">
        <v>36000</v>
      </c>
      <c r="N62" s="79"/>
      <c r="O62" s="79">
        <f t="shared" si="11"/>
        <v>0</v>
      </c>
      <c r="P62" s="79"/>
      <c r="Q62" s="79">
        <f t="shared" si="12"/>
        <v>36000</v>
      </c>
      <c r="R62" s="79"/>
      <c r="S62" s="79">
        <v>36000</v>
      </c>
      <c r="T62" s="79"/>
      <c r="U62" s="79">
        <v>36000</v>
      </c>
      <c r="V62" s="79"/>
      <c r="W62" s="79">
        <v>36000</v>
      </c>
      <c r="X62" s="79"/>
      <c r="Y62" s="79">
        <f t="shared" si="13"/>
        <v>0</v>
      </c>
      <c r="Z62" s="62"/>
      <c r="AA62" s="63">
        <f t="shared" si="14"/>
        <v>0</v>
      </c>
      <c r="AB62" s="62"/>
      <c r="AC62" s="79">
        <f t="shared" si="15"/>
        <v>0</v>
      </c>
      <c r="AD62" s="62"/>
      <c r="AE62" s="63">
        <f t="shared" si="16"/>
        <v>0</v>
      </c>
      <c r="AF62" s="57"/>
      <c r="AH62" s="57"/>
      <c r="AI62" s="57"/>
      <c r="AJ62" s="57"/>
    </row>
    <row r="63" spans="1:36" x14ac:dyDescent="0.2">
      <c r="A63" s="55" t="s">
        <v>361</v>
      </c>
      <c r="B63" s="56" t="s">
        <v>362</v>
      </c>
      <c r="C63" s="77">
        <v>0</v>
      </c>
      <c r="E63" s="77">
        <v>310639.73</v>
      </c>
      <c r="G63" s="77">
        <v>150000</v>
      </c>
      <c r="I63" s="77">
        <v>0</v>
      </c>
      <c r="K63" s="77">
        <v>0</v>
      </c>
      <c r="M63" s="77">
        <v>0</v>
      </c>
      <c r="O63" s="77">
        <f t="shared" si="11"/>
        <v>0</v>
      </c>
      <c r="Q63" s="77">
        <f t="shared" si="12"/>
        <v>0</v>
      </c>
      <c r="S63" s="77">
        <v>0</v>
      </c>
      <c r="U63" s="77">
        <v>0</v>
      </c>
      <c r="W63" s="77">
        <v>0</v>
      </c>
      <c r="Y63" s="77">
        <f t="shared" si="13"/>
        <v>0</v>
      </c>
      <c r="Z63" s="57"/>
      <c r="AA63" s="58" t="str">
        <f t="shared" si="14"/>
        <v>N/A</v>
      </c>
      <c r="AB63" s="57"/>
      <c r="AC63" s="77">
        <f t="shared" si="15"/>
        <v>0</v>
      </c>
      <c r="AD63" s="57"/>
      <c r="AE63" s="58" t="str">
        <f t="shared" si="16"/>
        <v>N/A</v>
      </c>
      <c r="AF63" s="57"/>
      <c r="AH63" s="57"/>
      <c r="AI63" s="57"/>
      <c r="AJ63" s="57"/>
    </row>
    <row r="64" spans="1:36" x14ac:dyDescent="0.2">
      <c r="A64" s="59" t="s">
        <v>363</v>
      </c>
      <c r="B64" s="60" t="s">
        <v>364</v>
      </c>
      <c r="C64" s="79">
        <v>0</v>
      </c>
      <c r="D64" s="80"/>
      <c r="E64" s="79">
        <v>0</v>
      </c>
      <c r="F64" s="80"/>
      <c r="G64" s="79">
        <v>5000</v>
      </c>
      <c r="H64" s="79"/>
      <c r="I64" s="79">
        <v>0</v>
      </c>
      <c r="J64" s="79"/>
      <c r="K64" s="79">
        <v>0</v>
      </c>
      <c r="L64" s="79"/>
      <c r="M64" s="79">
        <v>0</v>
      </c>
      <c r="N64" s="79"/>
      <c r="O64" s="79">
        <f t="shared" si="11"/>
        <v>0</v>
      </c>
      <c r="P64" s="79"/>
      <c r="Q64" s="79">
        <f t="shared" si="12"/>
        <v>0</v>
      </c>
      <c r="R64" s="79"/>
      <c r="S64" s="79">
        <v>0</v>
      </c>
      <c r="T64" s="79"/>
      <c r="U64" s="79">
        <v>0</v>
      </c>
      <c r="V64" s="79"/>
      <c r="W64" s="79">
        <v>0</v>
      </c>
      <c r="X64" s="79"/>
      <c r="Y64" s="79">
        <f t="shared" si="13"/>
        <v>0</v>
      </c>
      <c r="Z64" s="62"/>
      <c r="AA64" s="63" t="str">
        <f t="shared" si="14"/>
        <v>N/A</v>
      </c>
      <c r="AB64" s="62"/>
      <c r="AC64" s="79">
        <f t="shared" si="15"/>
        <v>0</v>
      </c>
      <c r="AD64" s="62"/>
      <c r="AE64" s="63" t="str">
        <f t="shared" si="16"/>
        <v>N/A</v>
      </c>
      <c r="AF64" s="57"/>
      <c r="AH64" s="57"/>
      <c r="AI64" s="57"/>
      <c r="AJ64" s="57"/>
    </row>
    <row r="65" spans="1:36" x14ac:dyDescent="0.2">
      <c r="A65" s="55" t="s">
        <v>365</v>
      </c>
      <c r="B65" s="56" t="s">
        <v>366</v>
      </c>
      <c r="C65" s="77">
        <v>10000</v>
      </c>
      <c r="E65" s="77">
        <v>10000</v>
      </c>
      <c r="G65" s="77">
        <v>10000</v>
      </c>
      <c r="I65" s="77">
        <v>10000</v>
      </c>
      <c r="K65" s="77">
        <v>10000</v>
      </c>
      <c r="M65" s="77">
        <v>10000</v>
      </c>
      <c r="O65" s="77">
        <v>0</v>
      </c>
      <c r="Q65" s="77">
        <f t="shared" si="12"/>
        <v>10000</v>
      </c>
      <c r="S65" s="77">
        <v>10000</v>
      </c>
      <c r="U65" s="77">
        <v>10000</v>
      </c>
      <c r="W65" s="77">
        <v>10000</v>
      </c>
      <c r="Y65" s="77">
        <f t="shared" si="13"/>
        <v>0</v>
      </c>
      <c r="Z65" s="57"/>
      <c r="AA65" s="58">
        <f t="shared" si="14"/>
        <v>0</v>
      </c>
      <c r="AB65" s="57"/>
      <c r="AC65" s="77">
        <f t="shared" si="15"/>
        <v>0</v>
      </c>
      <c r="AD65" s="57"/>
      <c r="AE65" s="58">
        <f t="shared" si="16"/>
        <v>0</v>
      </c>
      <c r="AF65" s="57"/>
      <c r="AH65" s="57"/>
      <c r="AI65" s="57"/>
      <c r="AJ65" s="57"/>
    </row>
    <row r="66" spans="1:36" x14ac:dyDescent="0.2">
      <c r="A66" s="59" t="s">
        <v>367</v>
      </c>
      <c r="B66" s="60" t="s">
        <v>368</v>
      </c>
      <c r="C66" s="79">
        <v>0</v>
      </c>
      <c r="D66" s="80"/>
      <c r="E66" s="79">
        <v>3500</v>
      </c>
      <c r="F66" s="80"/>
      <c r="G66" s="79">
        <v>6500</v>
      </c>
      <c r="H66" s="79"/>
      <c r="I66" s="79">
        <v>8000</v>
      </c>
      <c r="J66" s="79"/>
      <c r="K66" s="79">
        <v>8000</v>
      </c>
      <c r="L66" s="79"/>
      <c r="M66" s="79">
        <v>5500</v>
      </c>
      <c r="N66" s="79"/>
      <c r="O66" s="79">
        <f>PRODUCT(M66,0/12)</f>
        <v>0</v>
      </c>
      <c r="P66" s="79"/>
      <c r="Q66" s="79">
        <f t="shared" si="12"/>
        <v>5500</v>
      </c>
      <c r="R66" s="79"/>
      <c r="S66" s="79">
        <v>7500</v>
      </c>
      <c r="T66" s="79"/>
      <c r="U66" s="79">
        <v>7500</v>
      </c>
      <c r="V66" s="79"/>
      <c r="W66" s="79">
        <v>7500</v>
      </c>
      <c r="X66" s="79"/>
      <c r="Y66" s="79">
        <f t="shared" si="13"/>
        <v>-500</v>
      </c>
      <c r="Z66" s="62"/>
      <c r="AA66" s="63">
        <f t="shared" si="14"/>
        <v>-6.25E-2</v>
      </c>
      <c r="AB66" s="62"/>
      <c r="AC66" s="79">
        <f t="shared" si="15"/>
        <v>2000</v>
      </c>
      <c r="AD66" s="62"/>
      <c r="AE66" s="63">
        <f t="shared" si="16"/>
        <v>0.36363636363636359</v>
      </c>
      <c r="AF66" s="57"/>
      <c r="AH66" s="57"/>
      <c r="AI66" s="57"/>
      <c r="AJ66" s="57"/>
    </row>
    <row r="67" spans="1:36" x14ac:dyDescent="0.2">
      <c r="A67" s="55" t="s">
        <v>369</v>
      </c>
      <c r="B67" s="56" t="s">
        <v>370</v>
      </c>
      <c r="C67" s="77">
        <v>0</v>
      </c>
      <c r="E67" s="77">
        <v>5000</v>
      </c>
      <c r="G67" s="77">
        <v>5000</v>
      </c>
      <c r="I67" s="77">
        <v>5000</v>
      </c>
      <c r="K67" s="77">
        <v>5000</v>
      </c>
      <c r="M67" s="77">
        <v>5000</v>
      </c>
      <c r="O67" s="77">
        <v>0</v>
      </c>
      <c r="Q67" s="77">
        <f t="shared" si="12"/>
        <v>5000</v>
      </c>
      <c r="S67" s="77">
        <v>5000</v>
      </c>
      <c r="U67" s="77">
        <v>5000</v>
      </c>
      <c r="W67" s="77">
        <v>5000</v>
      </c>
      <c r="Y67" s="77">
        <f t="shared" si="13"/>
        <v>0</v>
      </c>
      <c r="Z67" s="57"/>
      <c r="AA67" s="58">
        <f t="shared" si="14"/>
        <v>0</v>
      </c>
      <c r="AB67" s="57"/>
      <c r="AC67" s="77">
        <f t="shared" si="15"/>
        <v>0</v>
      </c>
      <c r="AD67" s="57"/>
      <c r="AE67" s="58">
        <f t="shared" si="16"/>
        <v>0</v>
      </c>
      <c r="AF67" s="57"/>
      <c r="AH67" s="57"/>
      <c r="AI67" s="57"/>
      <c r="AJ67" s="57"/>
    </row>
    <row r="68" spans="1:36" x14ac:dyDescent="0.2">
      <c r="A68" s="59" t="s">
        <v>371</v>
      </c>
      <c r="B68" s="60" t="s">
        <v>372</v>
      </c>
      <c r="C68" s="79">
        <v>0</v>
      </c>
      <c r="D68" s="80"/>
      <c r="E68" s="79">
        <v>0</v>
      </c>
      <c r="F68" s="80"/>
      <c r="G68" s="79">
        <v>16700</v>
      </c>
      <c r="H68" s="79"/>
      <c r="I68" s="79">
        <v>0</v>
      </c>
      <c r="J68" s="79"/>
      <c r="K68" s="79">
        <v>0</v>
      </c>
      <c r="L68" s="79"/>
      <c r="M68" s="79">
        <v>0</v>
      </c>
      <c r="N68" s="79"/>
      <c r="O68" s="79">
        <f>PRODUCT(M68,0/12)</f>
        <v>0</v>
      </c>
      <c r="P68" s="79"/>
      <c r="Q68" s="79">
        <f t="shared" si="12"/>
        <v>0</v>
      </c>
      <c r="R68" s="79"/>
      <c r="S68" s="79">
        <v>0</v>
      </c>
      <c r="T68" s="79"/>
      <c r="U68" s="79">
        <v>0</v>
      </c>
      <c r="V68" s="79"/>
      <c r="W68" s="79">
        <v>0</v>
      </c>
      <c r="X68" s="79"/>
      <c r="Y68" s="79">
        <f t="shared" si="13"/>
        <v>0</v>
      </c>
      <c r="Z68" s="62"/>
      <c r="AA68" s="63" t="str">
        <f t="shared" si="14"/>
        <v>N/A</v>
      </c>
      <c r="AB68" s="62"/>
      <c r="AC68" s="79">
        <f t="shared" si="15"/>
        <v>0</v>
      </c>
      <c r="AD68" s="62"/>
      <c r="AE68" s="63" t="str">
        <f t="shared" si="16"/>
        <v>N/A</v>
      </c>
      <c r="AF68" s="57"/>
      <c r="AH68" s="57"/>
      <c r="AI68" s="57"/>
      <c r="AJ68" s="57"/>
    </row>
    <row r="69" spans="1:36" x14ac:dyDescent="0.2">
      <c r="A69" s="55" t="s">
        <v>374</v>
      </c>
      <c r="B69" s="56" t="s">
        <v>375</v>
      </c>
      <c r="C69" s="77">
        <v>760</v>
      </c>
      <c r="E69" s="77">
        <v>0</v>
      </c>
      <c r="G69" s="77">
        <v>0</v>
      </c>
      <c r="I69" s="77">
        <v>0</v>
      </c>
      <c r="K69" s="77">
        <v>0</v>
      </c>
      <c r="M69" s="77">
        <v>0</v>
      </c>
      <c r="O69" s="77">
        <f>PRODUCT(M69,0/12)</f>
        <v>0</v>
      </c>
      <c r="Q69" s="77">
        <f t="shared" si="12"/>
        <v>0</v>
      </c>
      <c r="S69" s="77">
        <v>0</v>
      </c>
      <c r="U69" s="77">
        <v>0</v>
      </c>
      <c r="W69" s="77">
        <v>0</v>
      </c>
      <c r="Y69" s="77">
        <f t="shared" si="13"/>
        <v>0</v>
      </c>
      <c r="Z69" s="57"/>
      <c r="AA69" s="58" t="str">
        <f t="shared" si="14"/>
        <v>N/A</v>
      </c>
      <c r="AB69" s="57"/>
      <c r="AC69" s="77">
        <f t="shared" si="15"/>
        <v>0</v>
      </c>
      <c r="AD69" s="57"/>
      <c r="AE69" s="58" t="str">
        <f t="shared" si="16"/>
        <v>N/A</v>
      </c>
      <c r="AF69" s="57"/>
      <c r="AH69" s="57"/>
      <c r="AI69" s="57"/>
      <c r="AJ69" s="57"/>
    </row>
    <row r="70" spans="1:36" x14ac:dyDescent="0.2">
      <c r="A70" s="59" t="s">
        <v>376</v>
      </c>
      <c r="B70" s="60" t="s">
        <v>377</v>
      </c>
      <c r="C70" s="79">
        <v>10150</v>
      </c>
      <c r="D70" s="80"/>
      <c r="E70" s="79">
        <v>0</v>
      </c>
      <c r="F70" s="80"/>
      <c r="G70" s="79">
        <v>0</v>
      </c>
      <c r="H70" s="79"/>
      <c r="I70" s="79">
        <v>12500</v>
      </c>
      <c r="J70" s="79"/>
      <c r="K70" s="79">
        <v>12500</v>
      </c>
      <c r="L70" s="79"/>
      <c r="M70" s="79">
        <v>12500</v>
      </c>
      <c r="N70" s="79"/>
      <c r="O70" s="79">
        <v>0</v>
      </c>
      <c r="P70" s="79"/>
      <c r="Q70" s="79">
        <f t="shared" si="12"/>
        <v>12500</v>
      </c>
      <c r="R70" s="79"/>
      <c r="S70" s="79">
        <v>12500</v>
      </c>
      <c r="T70" s="79"/>
      <c r="U70" s="79">
        <v>0</v>
      </c>
      <c r="V70" s="79"/>
      <c r="W70" s="79">
        <v>0</v>
      </c>
      <c r="X70" s="79"/>
      <c r="Y70" s="79">
        <f t="shared" si="13"/>
        <v>-12500</v>
      </c>
      <c r="Z70" s="62"/>
      <c r="AA70" s="63" t="str">
        <f t="shared" si="14"/>
        <v>N/A</v>
      </c>
      <c r="AB70" s="62"/>
      <c r="AC70" s="79">
        <f t="shared" si="15"/>
        <v>-12500</v>
      </c>
      <c r="AD70" s="62"/>
      <c r="AE70" s="63" t="str">
        <f t="shared" si="16"/>
        <v>N/A</v>
      </c>
      <c r="AF70" s="57"/>
      <c r="AG70" s="56" t="s">
        <v>1049</v>
      </c>
      <c r="AH70" s="57"/>
      <c r="AI70" s="57"/>
      <c r="AJ70" s="57"/>
    </row>
    <row r="71" spans="1:36" x14ac:dyDescent="0.2">
      <c r="A71" s="55" t="s">
        <v>378</v>
      </c>
      <c r="B71" s="56" t="s">
        <v>379</v>
      </c>
      <c r="C71" s="77">
        <v>3670.12</v>
      </c>
      <c r="E71" s="77">
        <v>0</v>
      </c>
      <c r="G71" s="77">
        <v>0</v>
      </c>
      <c r="I71" s="77">
        <v>0</v>
      </c>
      <c r="K71" s="77">
        <v>0</v>
      </c>
      <c r="M71" s="77">
        <v>0</v>
      </c>
      <c r="O71" s="77">
        <f t="shared" ref="O71:O76" si="17">PRODUCT(M71,0/12)</f>
        <v>0</v>
      </c>
      <c r="Q71" s="77">
        <f t="shared" si="12"/>
        <v>0</v>
      </c>
      <c r="S71" s="77">
        <v>0</v>
      </c>
      <c r="U71" s="77">
        <v>0</v>
      </c>
      <c r="W71" s="77">
        <v>0</v>
      </c>
      <c r="Y71" s="77">
        <f t="shared" si="13"/>
        <v>0</v>
      </c>
      <c r="Z71" s="57"/>
      <c r="AA71" s="58" t="str">
        <f t="shared" si="14"/>
        <v>N/A</v>
      </c>
      <c r="AB71" s="57"/>
      <c r="AC71" s="77">
        <f t="shared" si="15"/>
        <v>0</v>
      </c>
      <c r="AD71" s="57"/>
      <c r="AE71" s="58" t="str">
        <f t="shared" si="16"/>
        <v>N/A</v>
      </c>
      <c r="AF71" s="57"/>
      <c r="AH71" s="57"/>
      <c r="AI71" s="57"/>
      <c r="AJ71" s="57"/>
    </row>
    <row r="72" spans="1:36" x14ac:dyDescent="0.2">
      <c r="A72" s="59" t="s">
        <v>380</v>
      </c>
      <c r="B72" s="60" t="s">
        <v>381</v>
      </c>
      <c r="C72" s="79">
        <v>0</v>
      </c>
      <c r="D72" s="80"/>
      <c r="E72" s="79">
        <v>1885.83</v>
      </c>
      <c r="F72" s="80"/>
      <c r="G72" s="79">
        <v>0</v>
      </c>
      <c r="H72" s="79"/>
      <c r="I72" s="79">
        <v>0</v>
      </c>
      <c r="J72" s="79"/>
      <c r="K72" s="79">
        <v>0</v>
      </c>
      <c r="L72" s="79"/>
      <c r="M72" s="79">
        <v>0</v>
      </c>
      <c r="N72" s="79"/>
      <c r="O72" s="79">
        <f t="shared" si="17"/>
        <v>0</v>
      </c>
      <c r="P72" s="79"/>
      <c r="Q72" s="79">
        <f t="shared" si="12"/>
        <v>0</v>
      </c>
      <c r="R72" s="79"/>
      <c r="S72" s="79">
        <v>0</v>
      </c>
      <c r="T72" s="79"/>
      <c r="U72" s="79">
        <v>0</v>
      </c>
      <c r="V72" s="79"/>
      <c r="W72" s="79">
        <v>0</v>
      </c>
      <c r="X72" s="79"/>
      <c r="Y72" s="79">
        <f t="shared" si="13"/>
        <v>0</v>
      </c>
      <c r="Z72" s="62"/>
      <c r="AA72" s="63" t="str">
        <f t="shared" si="14"/>
        <v>N/A</v>
      </c>
      <c r="AB72" s="62"/>
      <c r="AC72" s="79">
        <f t="shared" si="15"/>
        <v>0</v>
      </c>
      <c r="AD72" s="62"/>
      <c r="AE72" s="63" t="str">
        <f t="shared" si="16"/>
        <v>N/A</v>
      </c>
      <c r="AF72" s="57"/>
      <c r="AH72" s="57"/>
      <c r="AI72" s="57"/>
      <c r="AJ72" s="57"/>
    </row>
    <row r="73" spans="1:36" x14ac:dyDescent="0.2">
      <c r="A73" s="55" t="s">
        <v>382</v>
      </c>
      <c r="B73" s="56" t="s">
        <v>383</v>
      </c>
      <c r="C73" s="77">
        <v>0</v>
      </c>
      <c r="E73" s="77">
        <v>0</v>
      </c>
      <c r="G73" s="77">
        <v>0</v>
      </c>
      <c r="I73" s="77">
        <v>18000</v>
      </c>
      <c r="K73" s="77">
        <v>18000</v>
      </c>
      <c r="M73" s="77">
        <v>0</v>
      </c>
      <c r="O73" s="77">
        <f t="shared" si="17"/>
        <v>0</v>
      </c>
      <c r="Q73" s="77">
        <f t="shared" si="12"/>
        <v>0</v>
      </c>
      <c r="S73" s="77">
        <v>0</v>
      </c>
      <c r="U73" s="77">
        <v>10000</v>
      </c>
      <c r="W73" s="77">
        <v>18000</v>
      </c>
      <c r="Y73" s="77">
        <f t="shared" si="13"/>
        <v>0</v>
      </c>
      <c r="Z73" s="57"/>
      <c r="AA73" s="58">
        <f t="shared" si="14"/>
        <v>0</v>
      </c>
      <c r="AB73" s="57"/>
      <c r="AC73" s="77">
        <f t="shared" si="15"/>
        <v>18000</v>
      </c>
      <c r="AD73" s="57"/>
      <c r="AE73" s="58" t="e">
        <f t="shared" si="16"/>
        <v>#DIV/0!</v>
      </c>
      <c r="AF73" s="57"/>
      <c r="AH73" s="57"/>
      <c r="AI73" s="57"/>
      <c r="AJ73" s="57"/>
    </row>
    <row r="74" spans="1:36" x14ac:dyDescent="0.2">
      <c r="A74" s="59" t="s">
        <v>384</v>
      </c>
      <c r="B74" s="60" t="s">
        <v>385</v>
      </c>
      <c r="C74" s="79">
        <v>615</v>
      </c>
      <c r="D74" s="80"/>
      <c r="E74" s="79">
        <v>0</v>
      </c>
      <c r="F74" s="80"/>
      <c r="G74" s="79">
        <v>0</v>
      </c>
      <c r="H74" s="79"/>
      <c r="I74" s="79">
        <v>0</v>
      </c>
      <c r="J74" s="79"/>
      <c r="K74" s="79">
        <v>0</v>
      </c>
      <c r="L74" s="79"/>
      <c r="M74" s="79">
        <v>0</v>
      </c>
      <c r="N74" s="79"/>
      <c r="O74" s="79">
        <f t="shared" si="17"/>
        <v>0</v>
      </c>
      <c r="P74" s="79"/>
      <c r="Q74" s="79">
        <f t="shared" si="12"/>
        <v>0</v>
      </c>
      <c r="R74" s="79"/>
      <c r="S74" s="79">
        <v>0</v>
      </c>
      <c r="T74" s="79"/>
      <c r="U74" s="79">
        <v>0</v>
      </c>
      <c r="V74" s="79"/>
      <c r="W74" s="79">
        <v>0</v>
      </c>
      <c r="X74" s="79"/>
      <c r="Y74" s="79">
        <f t="shared" si="13"/>
        <v>0</v>
      </c>
      <c r="Z74" s="62"/>
      <c r="AA74" s="63" t="str">
        <f t="shared" si="14"/>
        <v>N/A</v>
      </c>
      <c r="AB74" s="62"/>
      <c r="AC74" s="79">
        <f t="shared" si="15"/>
        <v>0</v>
      </c>
      <c r="AD74" s="62"/>
      <c r="AE74" s="63" t="str">
        <f t="shared" si="16"/>
        <v>N/A</v>
      </c>
      <c r="AF74" s="57"/>
      <c r="AH74" s="57"/>
      <c r="AI74" s="57"/>
      <c r="AJ74" s="57"/>
    </row>
    <row r="75" spans="1:36" x14ac:dyDescent="0.2">
      <c r="A75" s="55" t="s">
        <v>386</v>
      </c>
      <c r="B75" s="56" t="s">
        <v>387</v>
      </c>
      <c r="C75" s="77">
        <v>0</v>
      </c>
      <c r="E75" s="77">
        <v>0</v>
      </c>
      <c r="G75" s="77">
        <v>0</v>
      </c>
      <c r="I75" s="77">
        <v>20000</v>
      </c>
      <c r="K75" s="77">
        <v>20000</v>
      </c>
      <c r="M75" s="77">
        <v>0</v>
      </c>
      <c r="O75" s="77">
        <f t="shared" si="17"/>
        <v>0</v>
      </c>
      <c r="Q75" s="77">
        <f t="shared" si="12"/>
        <v>0</v>
      </c>
      <c r="S75" s="77">
        <v>0</v>
      </c>
      <c r="U75" s="77">
        <v>0</v>
      </c>
      <c r="W75" s="77">
        <v>0</v>
      </c>
      <c r="Y75" s="77">
        <f t="shared" si="13"/>
        <v>-20000</v>
      </c>
      <c r="Z75" s="57"/>
      <c r="AA75" s="58" t="str">
        <f t="shared" si="14"/>
        <v>N/A</v>
      </c>
      <c r="AB75" s="57"/>
      <c r="AC75" s="77">
        <f t="shared" si="15"/>
        <v>0</v>
      </c>
      <c r="AD75" s="57"/>
      <c r="AE75" s="58" t="str">
        <f t="shared" si="16"/>
        <v>N/A</v>
      </c>
      <c r="AF75" s="57"/>
      <c r="AH75" s="57"/>
      <c r="AI75" s="57"/>
      <c r="AJ75" s="57"/>
    </row>
    <row r="76" spans="1:36" x14ac:dyDescent="0.2">
      <c r="A76" s="59" t="s">
        <v>390</v>
      </c>
      <c r="B76" s="60" t="s">
        <v>391</v>
      </c>
      <c r="C76" s="79">
        <v>0</v>
      </c>
      <c r="D76" s="80"/>
      <c r="E76" s="79">
        <v>0</v>
      </c>
      <c r="F76" s="80"/>
      <c r="G76" s="79">
        <v>16582.04</v>
      </c>
      <c r="H76" s="79"/>
      <c r="I76" s="79">
        <v>0</v>
      </c>
      <c r="J76" s="79"/>
      <c r="K76" s="79">
        <v>48000</v>
      </c>
      <c r="L76" s="79"/>
      <c r="M76" s="79">
        <v>37220.26</v>
      </c>
      <c r="N76" s="79"/>
      <c r="O76" s="79">
        <f t="shared" si="17"/>
        <v>0</v>
      </c>
      <c r="P76" s="79"/>
      <c r="Q76" s="79">
        <f t="shared" si="12"/>
        <v>37220.26</v>
      </c>
      <c r="R76" s="79"/>
      <c r="S76" s="79">
        <v>5000</v>
      </c>
      <c r="T76" s="79"/>
      <c r="U76" s="79">
        <v>5000</v>
      </c>
      <c r="V76" s="79"/>
      <c r="W76" s="79">
        <v>5000</v>
      </c>
      <c r="X76" s="79"/>
      <c r="Y76" s="79">
        <f t="shared" si="13"/>
        <v>5000</v>
      </c>
      <c r="Z76" s="62"/>
      <c r="AA76" s="63" t="e">
        <f t="shared" si="14"/>
        <v>#DIV/0!</v>
      </c>
      <c r="AB76" s="62"/>
      <c r="AC76" s="79">
        <f t="shared" si="15"/>
        <v>-32220.260000000002</v>
      </c>
      <c r="AD76" s="62"/>
      <c r="AE76" s="63">
        <f t="shared" si="16"/>
        <v>-0.8656645601078552</v>
      </c>
      <c r="AF76" s="57"/>
      <c r="AH76" s="57"/>
      <c r="AI76" s="57"/>
      <c r="AJ76" s="57"/>
    </row>
    <row r="77" spans="1:36" x14ac:dyDescent="0.2">
      <c r="A77" s="55" t="s">
        <v>392</v>
      </c>
      <c r="B77" s="56" t="s">
        <v>1086</v>
      </c>
      <c r="C77" s="77">
        <v>0</v>
      </c>
      <c r="E77" s="77">
        <v>0</v>
      </c>
      <c r="G77" s="77">
        <v>1583.9</v>
      </c>
      <c r="I77" s="77">
        <v>0</v>
      </c>
      <c r="K77" s="77">
        <v>0</v>
      </c>
      <c r="M77" s="77">
        <v>0</v>
      </c>
      <c r="O77" s="77">
        <v>0</v>
      </c>
      <c r="Q77" s="77">
        <f t="shared" si="12"/>
        <v>0</v>
      </c>
      <c r="S77" s="77">
        <v>2000</v>
      </c>
      <c r="U77" s="77">
        <v>2000</v>
      </c>
      <c r="W77" s="77">
        <v>2000</v>
      </c>
      <c r="Y77" s="77">
        <f t="shared" si="13"/>
        <v>2000</v>
      </c>
      <c r="Z77" s="57"/>
      <c r="AA77" s="58" t="e">
        <f t="shared" si="14"/>
        <v>#DIV/0!</v>
      </c>
      <c r="AB77" s="57"/>
      <c r="AC77" s="77">
        <f t="shared" si="15"/>
        <v>2000</v>
      </c>
      <c r="AD77" s="57"/>
      <c r="AE77" s="58" t="e">
        <f t="shared" si="16"/>
        <v>#DIV/0!</v>
      </c>
      <c r="AF77" s="57"/>
      <c r="AG77" s="56" t="s">
        <v>1092</v>
      </c>
      <c r="AH77" s="57"/>
      <c r="AI77" s="57"/>
      <c r="AJ77" s="57"/>
    </row>
    <row r="78" spans="1:36" x14ac:dyDescent="0.2">
      <c r="A78" s="59" t="s">
        <v>394</v>
      </c>
      <c r="B78" s="60" t="s">
        <v>1087</v>
      </c>
      <c r="C78" s="79">
        <v>0</v>
      </c>
      <c r="D78" s="80"/>
      <c r="E78" s="79">
        <v>0</v>
      </c>
      <c r="F78" s="80"/>
      <c r="G78" s="79">
        <v>10563.62</v>
      </c>
      <c r="H78" s="79"/>
      <c r="I78" s="79">
        <v>0</v>
      </c>
      <c r="J78" s="79"/>
      <c r="K78" s="79">
        <v>0</v>
      </c>
      <c r="L78" s="79"/>
      <c r="M78" s="79">
        <v>0</v>
      </c>
      <c r="N78" s="79"/>
      <c r="O78" s="79">
        <v>0</v>
      </c>
      <c r="P78" s="79"/>
      <c r="Q78" s="79">
        <f t="shared" si="12"/>
        <v>0</v>
      </c>
      <c r="R78" s="79"/>
      <c r="S78" s="79">
        <v>12500</v>
      </c>
      <c r="T78" s="79"/>
      <c r="U78" s="79">
        <v>12500</v>
      </c>
      <c r="V78" s="79"/>
      <c r="W78" s="79">
        <v>12500</v>
      </c>
      <c r="X78" s="79"/>
      <c r="Y78" s="79">
        <f t="shared" si="13"/>
        <v>12500</v>
      </c>
      <c r="Z78" s="62"/>
      <c r="AA78" s="63" t="e">
        <f t="shared" si="14"/>
        <v>#DIV/0!</v>
      </c>
      <c r="AB78" s="62"/>
      <c r="AC78" s="79">
        <f t="shared" si="15"/>
        <v>12500</v>
      </c>
      <c r="AD78" s="62"/>
      <c r="AE78" s="63" t="e">
        <f t="shared" si="16"/>
        <v>#DIV/0!</v>
      </c>
      <c r="AF78" s="57"/>
      <c r="AG78" s="56" t="s">
        <v>1092</v>
      </c>
      <c r="AH78" s="57"/>
      <c r="AI78" s="57"/>
      <c r="AJ78" s="57"/>
    </row>
    <row r="79" spans="1:36" x14ac:dyDescent="0.2">
      <c r="A79" s="64" t="s">
        <v>70</v>
      </c>
      <c r="C79" s="81">
        <f>SUM(C50:C78)</f>
        <v>211792.22999999998</v>
      </c>
      <c r="E79" s="81">
        <f>SUM(E50:E78)</f>
        <v>462120.75</v>
      </c>
      <c r="G79" s="81">
        <f>SUM(G50:G78)</f>
        <v>360703.18</v>
      </c>
      <c r="I79" s="81">
        <f>SUM(I50:I78)</f>
        <v>219200</v>
      </c>
      <c r="K79" s="81">
        <f>SUM(K50:K78)</f>
        <v>267200</v>
      </c>
      <c r="M79" s="81">
        <f>SUM(M50:M78)</f>
        <v>220148.88</v>
      </c>
      <c r="O79" s="81">
        <f>SUM(O50:O78)</f>
        <v>0</v>
      </c>
      <c r="Q79" s="81">
        <f>SUM(Q50:Q78)</f>
        <v>220148.88</v>
      </c>
      <c r="S79" s="81">
        <f>SUM(S50:S78)</f>
        <v>200000</v>
      </c>
      <c r="U79" s="81">
        <f>SUM(U50:U78)</f>
        <v>216000</v>
      </c>
      <c r="W79" s="81">
        <f>SUM(W50:W78)</f>
        <v>224000</v>
      </c>
      <c r="Y79" s="81">
        <f>SUM(Y50:Y78)</f>
        <v>4800</v>
      </c>
      <c r="Z79" s="57"/>
      <c r="AA79" s="65">
        <f t="shared" si="14"/>
        <v>2.1897810218978103E-2</v>
      </c>
      <c r="AB79" s="57"/>
      <c r="AC79" s="81">
        <f>SUM(AC50:AC78)</f>
        <v>3851.1200000000026</v>
      </c>
      <c r="AD79" s="57"/>
      <c r="AE79" s="65">
        <f t="shared" si="16"/>
        <v>1.7493252747867727E-2</v>
      </c>
      <c r="AF79" s="57"/>
      <c r="AH79" s="57"/>
      <c r="AI79" s="57"/>
      <c r="AJ79" s="57"/>
    </row>
    <row r="80" spans="1:36" x14ac:dyDescent="0.2">
      <c r="A80" s="55"/>
      <c r="Z80" s="57"/>
      <c r="AA80" s="58"/>
      <c r="AB80" s="57"/>
      <c r="AD80" s="57"/>
      <c r="AE80" s="65"/>
      <c r="AF80" s="57"/>
      <c r="AH80" s="57"/>
      <c r="AI80" s="57"/>
      <c r="AJ80" s="57"/>
    </row>
    <row r="81" spans="1:36" x14ac:dyDescent="0.2">
      <c r="A81" s="54" t="s">
        <v>388</v>
      </c>
      <c r="Z81" s="57"/>
      <c r="AA81" s="58"/>
      <c r="AB81" s="57"/>
      <c r="AD81" s="57"/>
      <c r="AE81" s="58"/>
      <c r="AF81" s="57"/>
      <c r="AH81" s="57"/>
      <c r="AI81" s="57"/>
      <c r="AJ81" s="57"/>
    </row>
    <row r="82" spans="1:36" x14ac:dyDescent="0.2">
      <c r="A82" s="59" t="s">
        <v>389</v>
      </c>
      <c r="B82" s="60" t="s">
        <v>240</v>
      </c>
      <c r="C82" s="79">
        <v>15684</v>
      </c>
      <c r="D82" s="80"/>
      <c r="E82" s="79">
        <v>18280.099999999999</v>
      </c>
      <c r="F82" s="80"/>
      <c r="G82" s="79">
        <v>103573.04</v>
      </c>
      <c r="H82" s="79"/>
      <c r="I82" s="79">
        <v>20000</v>
      </c>
      <c r="J82" s="79"/>
      <c r="K82" s="79">
        <v>20000</v>
      </c>
      <c r="L82" s="79"/>
      <c r="M82" s="79">
        <v>6993.44</v>
      </c>
      <c r="N82" s="79"/>
      <c r="O82" s="79">
        <f>PRODUCT(M82,0/12)</f>
        <v>0</v>
      </c>
      <c r="P82" s="79"/>
      <c r="Q82" s="79">
        <f>SUM(M82,O82)</f>
        <v>6993.44</v>
      </c>
      <c r="R82" s="79"/>
      <c r="S82" s="79">
        <v>20000</v>
      </c>
      <c r="T82" s="79"/>
      <c r="U82" s="79">
        <v>20000</v>
      </c>
      <c r="V82" s="79"/>
      <c r="W82" s="79">
        <v>20000</v>
      </c>
      <c r="X82" s="79"/>
      <c r="Y82" s="79">
        <f>SUM(W82,-I82)</f>
        <v>0</v>
      </c>
      <c r="Z82" s="62"/>
      <c r="AA82" s="63">
        <f>IF(W82=0,"N/A",PRODUCT(Y82,1/I82))</f>
        <v>0</v>
      </c>
      <c r="AB82" s="62"/>
      <c r="AC82" s="79">
        <f>SUM(W82,-Q82)</f>
        <v>13006.560000000001</v>
      </c>
      <c r="AD82" s="62"/>
      <c r="AE82" s="63">
        <f>IF(W82=0,"N/A",PRODUCT(AC82,1/Q82))</f>
        <v>1.8598229197648084</v>
      </c>
      <c r="AF82" s="57"/>
      <c r="AH82" s="57"/>
      <c r="AI82" s="57"/>
      <c r="AJ82" s="57"/>
    </row>
    <row r="83" spans="1:36" x14ac:dyDescent="0.2">
      <c r="A83" s="64" t="s">
        <v>459</v>
      </c>
      <c r="C83" s="81">
        <f>SUM(C82:C82)</f>
        <v>15684</v>
      </c>
      <c r="E83" s="81">
        <f>SUM(E82:E82)</f>
        <v>18280.099999999999</v>
      </c>
      <c r="F83" s="77"/>
      <c r="G83" s="81">
        <f>SUM(G82:G82)</f>
        <v>103573.04</v>
      </c>
      <c r="I83" s="81">
        <f>SUM(I82:I82)</f>
        <v>20000</v>
      </c>
      <c r="K83" s="81">
        <f>SUM(K82:K82)</f>
        <v>20000</v>
      </c>
      <c r="M83" s="81">
        <f>SUM(M82:M82)</f>
        <v>6993.44</v>
      </c>
      <c r="O83" s="81">
        <f>SUM(O82:O82)</f>
        <v>0</v>
      </c>
      <c r="Q83" s="81">
        <f>SUM(Q82:Q82)</f>
        <v>6993.44</v>
      </c>
      <c r="S83" s="81">
        <f>SUM(S82:S82)</f>
        <v>20000</v>
      </c>
      <c r="U83" s="81">
        <f>SUM(U82:U82)</f>
        <v>20000</v>
      </c>
      <c r="W83" s="81">
        <f>SUM(W82:W82)</f>
        <v>20000</v>
      </c>
      <c r="Y83" s="81">
        <f>SUM(Y82:Y82)</f>
        <v>0</v>
      </c>
      <c r="Z83" s="57"/>
      <c r="AA83" s="65">
        <f>IF(W83=0,"N/A",PRODUCT(Y83,1/I83))</f>
        <v>0</v>
      </c>
      <c r="AB83" s="57"/>
      <c r="AC83" s="81">
        <f>SUM(AC82:AC82)</f>
        <v>13006.560000000001</v>
      </c>
      <c r="AD83" s="57"/>
      <c r="AE83" s="65">
        <f>IF(W83=0,"N/A",PRODUCT(AC83,1/Q83))</f>
        <v>1.8598229197648084</v>
      </c>
      <c r="AF83" s="57"/>
      <c r="AH83" s="57"/>
      <c r="AI83" s="57"/>
      <c r="AJ83" s="57"/>
    </row>
    <row r="84" spans="1:36" x14ac:dyDescent="0.2">
      <c r="Z84" s="57"/>
      <c r="AA84" s="58"/>
      <c r="AB84" s="57"/>
      <c r="AD84" s="57"/>
      <c r="AE84" s="58"/>
      <c r="AF84" s="57"/>
      <c r="AH84" s="57"/>
      <c r="AI84" s="57"/>
      <c r="AJ84" s="57"/>
    </row>
    <row r="85" spans="1:36" ht="13.5" thickBot="1" x14ac:dyDescent="0.25">
      <c r="A85" s="67" t="s">
        <v>81</v>
      </c>
      <c r="C85" s="83">
        <f>SUM(C14,C42,C47,C79,C83)</f>
        <v>1879129.35</v>
      </c>
      <c r="E85" s="83">
        <f>SUM(E14,E42,E47,E79,E83)</f>
        <v>2280019.65</v>
      </c>
      <c r="G85" s="83">
        <f>SUM(G14,G42,G47,G79,G83)</f>
        <v>2461588.6</v>
      </c>
      <c r="I85" s="83">
        <f>SUM(I14,I42,I47,I79,I83)</f>
        <v>2881000</v>
      </c>
      <c r="K85" s="83">
        <f>SUM(K14,K42,K47,K79,K83)</f>
        <v>2929000</v>
      </c>
      <c r="M85" s="82">
        <f>SUM(M14,M42,M47,M79,M83)</f>
        <v>2426251.42</v>
      </c>
      <c r="O85" s="82">
        <f>SUM(O14,O42,O47,O79,O83)</f>
        <v>0</v>
      </c>
      <c r="Q85" s="83">
        <f>SUM(Q14,Q42,Q47,Q79,Q83)</f>
        <v>2426251.42</v>
      </c>
      <c r="S85" s="82">
        <f>SUM(S14,S42,S47,S79,S83)</f>
        <v>2885500</v>
      </c>
      <c r="U85" s="82">
        <f>SUM(U14,U42,U47,U79,U83)</f>
        <v>3000000</v>
      </c>
      <c r="W85" s="83">
        <f>SUM(W14,W42,W47,W79,W83)</f>
        <v>3006000</v>
      </c>
      <c r="Y85" s="82">
        <f>SUM(Y14,Y42,Y47,Y79,Y83)</f>
        <v>125000</v>
      </c>
      <c r="Z85" s="57"/>
      <c r="AA85" s="125">
        <f>IF(W85=0,"N/A",PRODUCT(Y85,1/I85))</f>
        <v>4.3387712599791739E-2</v>
      </c>
      <c r="AB85" s="57"/>
      <c r="AC85" s="82">
        <f>SUM(AC14,AC42,AC47,AC79,AC83)</f>
        <v>579748.57999999996</v>
      </c>
      <c r="AD85" s="57"/>
      <c r="AE85" s="125">
        <f>IF(W85=0,"N/A",PRODUCT(AC85,1/Q85))</f>
        <v>0.23894827024975013</v>
      </c>
      <c r="AF85" s="57"/>
      <c r="AH85" s="57"/>
      <c r="AI85" s="57"/>
      <c r="AJ85" s="57"/>
    </row>
    <row r="86" spans="1:36" ht="13.5" thickTop="1" x14ac:dyDescent="0.2">
      <c r="Z86" s="57"/>
      <c r="AB86" s="57"/>
      <c r="AD86" s="57"/>
      <c r="AF86" s="57"/>
      <c r="AH86" s="57"/>
      <c r="AI86" s="57"/>
      <c r="AJ86" s="57"/>
    </row>
    <row r="87" spans="1:36" x14ac:dyDescent="0.2">
      <c r="Z87" s="57"/>
      <c r="AB87" s="57"/>
      <c r="AD87" s="57"/>
      <c r="AF87" s="57"/>
      <c r="AH87" s="57"/>
      <c r="AI87" s="57"/>
      <c r="AJ87" s="57"/>
    </row>
    <row r="88" spans="1:36" x14ac:dyDescent="0.2">
      <c r="Z88" s="57"/>
      <c r="AB88" s="57"/>
      <c r="AD88" s="57"/>
      <c r="AF88" s="57"/>
      <c r="AH88" s="57"/>
      <c r="AI88" s="57"/>
      <c r="AJ88" s="57"/>
    </row>
    <row r="89" spans="1:36" x14ac:dyDescent="0.2">
      <c r="Z89" s="57"/>
      <c r="AB89" s="57"/>
      <c r="AD89" s="57"/>
      <c r="AF89" s="57"/>
      <c r="AH89" s="57"/>
      <c r="AI89" s="57"/>
      <c r="AJ89" s="57"/>
    </row>
    <row r="90" spans="1:36" x14ac:dyDescent="0.2">
      <c r="Z90" s="57"/>
      <c r="AB90" s="57"/>
      <c r="AD90" s="57"/>
      <c r="AF90" s="57"/>
      <c r="AH90" s="57"/>
      <c r="AI90" s="57"/>
      <c r="AJ90" s="57"/>
    </row>
    <row r="91" spans="1:36" x14ac:dyDescent="0.2">
      <c r="Z91" s="57"/>
      <c r="AB91" s="57"/>
      <c r="AD91" s="57"/>
      <c r="AF91" s="57"/>
      <c r="AH91" s="57"/>
      <c r="AI91" s="57"/>
      <c r="AJ91" s="57"/>
    </row>
    <row r="92" spans="1:36" x14ac:dyDescent="0.2">
      <c r="Z92" s="57"/>
      <c r="AB92" s="57"/>
      <c r="AD92" s="57"/>
      <c r="AF92" s="57"/>
      <c r="AH92" s="57"/>
      <c r="AI92" s="57"/>
      <c r="AJ92" s="57"/>
    </row>
    <row r="93" spans="1:36" x14ac:dyDescent="0.2">
      <c r="Z93" s="57"/>
      <c r="AB93" s="57"/>
      <c r="AD93" s="57"/>
      <c r="AF93" s="57"/>
      <c r="AH93" s="57"/>
      <c r="AI93" s="57"/>
      <c r="AJ93" s="57"/>
    </row>
    <row r="94" spans="1:36" x14ac:dyDescent="0.2">
      <c r="Z94" s="57"/>
      <c r="AB94" s="57"/>
      <c r="AD94" s="57"/>
      <c r="AF94" s="57"/>
      <c r="AH94" s="57"/>
      <c r="AI94" s="57"/>
      <c r="AJ94" s="57"/>
    </row>
    <row r="95" spans="1:36" x14ac:dyDescent="0.2">
      <c r="Z95" s="57"/>
      <c r="AB95" s="57"/>
      <c r="AD95" s="57"/>
      <c r="AF95" s="57"/>
      <c r="AH95" s="57"/>
      <c r="AI95" s="57"/>
      <c r="AJ95" s="57"/>
    </row>
    <row r="96" spans="1:36" x14ac:dyDescent="0.2">
      <c r="Z96" s="57"/>
      <c r="AB96" s="57"/>
      <c r="AD96" s="57"/>
      <c r="AF96" s="57"/>
      <c r="AH96" s="57"/>
      <c r="AI96" s="57"/>
      <c r="AJ96" s="57"/>
    </row>
    <row r="97" spans="26:36" x14ac:dyDescent="0.2">
      <c r="Z97" s="57"/>
      <c r="AB97" s="57"/>
      <c r="AD97" s="57"/>
      <c r="AF97" s="57"/>
      <c r="AH97" s="57"/>
      <c r="AI97" s="57"/>
      <c r="AJ97" s="57"/>
    </row>
    <row r="98" spans="26:36" x14ac:dyDescent="0.2">
      <c r="Z98" s="57"/>
      <c r="AB98" s="57"/>
      <c r="AD98" s="57"/>
      <c r="AF98" s="57"/>
      <c r="AH98" s="57"/>
      <c r="AI98" s="57"/>
      <c r="AJ98" s="57"/>
    </row>
    <row r="99" spans="26:36" x14ac:dyDescent="0.2">
      <c r="Z99" s="57"/>
      <c r="AB99" s="57"/>
      <c r="AD99" s="57"/>
      <c r="AF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H113" s="57"/>
      <c r="AI113" s="57"/>
      <c r="AJ113" s="57"/>
    </row>
    <row r="114" spans="26:36" x14ac:dyDescent="0.2">
      <c r="Z114" s="57"/>
      <c r="AB114" s="57"/>
      <c r="AD114" s="57"/>
      <c r="AF114" s="57"/>
      <c r="AH114" s="57"/>
      <c r="AI114" s="57"/>
      <c r="AJ114" s="57"/>
    </row>
    <row r="115" spans="26:36" x14ac:dyDescent="0.2">
      <c r="Z115" s="57"/>
      <c r="AB115" s="57"/>
      <c r="AD115" s="57"/>
      <c r="AF115" s="57"/>
      <c r="AH115" s="57"/>
      <c r="AI115" s="57"/>
      <c r="AJ115" s="57"/>
    </row>
    <row r="116" spans="26:36" x14ac:dyDescent="0.2">
      <c r="Z116" s="57"/>
      <c r="AB116" s="57"/>
      <c r="AD116" s="57"/>
      <c r="AF116" s="57"/>
      <c r="AH116" s="57"/>
      <c r="AI116" s="57"/>
      <c r="AJ116" s="57"/>
    </row>
    <row r="117" spans="26:36" x14ac:dyDescent="0.2">
      <c r="Z117" s="57"/>
      <c r="AB117" s="57"/>
      <c r="AD117" s="57"/>
      <c r="AF117" s="57"/>
      <c r="AH117" s="57"/>
      <c r="AI117" s="57"/>
      <c r="AJ117" s="57"/>
    </row>
    <row r="118" spans="26:36" x14ac:dyDescent="0.2">
      <c r="Z118" s="57"/>
      <c r="AB118" s="57"/>
      <c r="AD118" s="57"/>
      <c r="AF118" s="57"/>
      <c r="AH118" s="57"/>
      <c r="AI118" s="57"/>
      <c r="AJ118" s="57"/>
    </row>
    <row r="119" spans="26:36" x14ac:dyDescent="0.2">
      <c r="Z119" s="57"/>
      <c r="AB119" s="57"/>
      <c r="AD119" s="57"/>
      <c r="AF119" s="57"/>
      <c r="AH119" s="57"/>
      <c r="AI119" s="57"/>
      <c r="AJ119" s="57"/>
    </row>
    <row r="120" spans="26:36" x14ac:dyDescent="0.2">
      <c r="Z120" s="57"/>
      <c r="AB120" s="57"/>
      <c r="AD120" s="57"/>
      <c r="AF120" s="57"/>
      <c r="AH120" s="57"/>
      <c r="AI120" s="57"/>
      <c r="AJ120" s="57"/>
    </row>
    <row r="121" spans="26:36" x14ac:dyDescent="0.2">
      <c r="Z121" s="57"/>
      <c r="AB121" s="57"/>
      <c r="AD121" s="57"/>
      <c r="AF121" s="57"/>
      <c r="AH121" s="57"/>
      <c r="AI121" s="57"/>
      <c r="AJ121" s="57"/>
    </row>
    <row r="122" spans="26:36" x14ac:dyDescent="0.2">
      <c r="Z122" s="57"/>
      <c r="AB122" s="57"/>
      <c r="AD122" s="57"/>
      <c r="AF122" s="57"/>
      <c r="AH122" s="57"/>
      <c r="AI122" s="57"/>
      <c r="AJ122" s="57"/>
    </row>
    <row r="123" spans="26:36" x14ac:dyDescent="0.2">
      <c r="Z123" s="57"/>
      <c r="AB123" s="57"/>
      <c r="AD123" s="57"/>
      <c r="AF123" s="57"/>
      <c r="AH123" s="57"/>
      <c r="AI123" s="57"/>
      <c r="AJ123" s="57"/>
    </row>
    <row r="124" spans="26:36" x14ac:dyDescent="0.2">
      <c r="Z124" s="57"/>
      <c r="AB124" s="57"/>
      <c r="AD124" s="57"/>
      <c r="AF124" s="57"/>
      <c r="AH124" s="57"/>
      <c r="AI124" s="57"/>
      <c r="AJ124" s="57"/>
    </row>
    <row r="125" spans="26:36" x14ac:dyDescent="0.2">
      <c r="Z125" s="57"/>
      <c r="AB125" s="57"/>
      <c r="AD125" s="57"/>
      <c r="AF125" s="57"/>
      <c r="AH125" s="57"/>
      <c r="AI125" s="57"/>
      <c r="AJ125" s="57"/>
    </row>
    <row r="126" spans="26:36" x14ac:dyDescent="0.2">
      <c r="Z126" s="57"/>
      <c r="AB126" s="57"/>
      <c r="AD126" s="57"/>
      <c r="AF126" s="57"/>
      <c r="AH126" s="57"/>
      <c r="AI126" s="57"/>
      <c r="AJ126" s="57"/>
    </row>
    <row r="127" spans="26:36" x14ac:dyDescent="0.2">
      <c r="Z127" s="57"/>
      <c r="AB127" s="57"/>
      <c r="AD127" s="57"/>
      <c r="AF127" s="57"/>
      <c r="AH127" s="57"/>
      <c r="AI127" s="57"/>
      <c r="AJ127" s="57"/>
    </row>
    <row r="128" spans="26:36" x14ac:dyDescent="0.2">
      <c r="Z128" s="57"/>
      <c r="AB128" s="57"/>
      <c r="AD128" s="57"/>
      <c r="AF128" s="57"/>
      <c r="AH128" s="57"/>
      <c r="AI128" s="57"/>
      <c r="AJ128" s="57"/>
    </row>
    <row r="129" spans="26:36" x14ac:dyDescent="0.2">
      <c r="Z129" s="57"/>
      <c r="AB129" s="57"/>
      <c r="AD129" s="57"/>
      <c r="AF129" s="57"/>
      <c r="AH129" s="57"/>
      <c r="AI129" s="57"/>
      <c r="AJ129" s="57"/>
    </row>
    <row r="130" spans="26:36" x14ac:dyDescent="0.2">
      <c r="Z130" s="57"/>
      <c r="AB130" s="57"/>
      <c r="AD130" s="57"/>
      <c r="AF130" s="57"/>
      <c r="AH130" s="57"/>
      <c r="AI130" s="57"/>
      <c r="AJ130" s="57"/>
    </row>
    <row r="131" spans="26:36" x14ac:dyDescent="0.2">
      <c r="Z131" s="57"/>
      <c r="AB131" s="57"/>
      <c r="AD131" s="57"/>
      <c r="AF131" s="57"/>
      <c r="AH131" s="57"/>
      <c r="AI131" s="57"/>
      <c r="AJ131" s="57"/>
    </row>
    <row r="132" spans="26:36" x14ac:dyDescent="0.2">
      <c r="Z132" s="57"/>
      <c r="AB132" s="57"/>
      <c r="AD132" s="57"/>
      <c r="AF132" s="57"/>
      <c r="AH132" s="57"/>
      <c r="AI132" s="57"/>
      <c r="AJ132" s="57"/>
    </row>
    <row r="133" spans="26:36" x14ac:dyDescent="0.2">
      <c r="Z133" s="57"/>
      <c r="AB133" s="57"/>
      <c r="AD133" s="57"/>
      <c r="AF133" s="57"/>
      <c r="AH133" s="57"/>
      <c r="AI133" s="57"/>
      <c r="AJ133" s="57"/>
    </row>
    <row r="134" spans="26:36" x14ac:dyDescent="0.2">
      <c r="Z134" s="57"/>
      <c r="AB134" s="57"/>
      <c r="AD134" s="57"/>
      <c r="AF134" s="57"/>
      <c r="AH134" s="57"/>
      <c r="AI134" s="57"/>
      <c r="AJ134" s="57"/>
    </row>
    <row r="135" spans="26:36" x14ac:dyDescent="0.2">
      <c r="Z135" s="57"/>
      <c r="AB135" s="57"/>
      <c r="AD135" s="57"/>
      <c r="AF135" s="57"/>
      <c r="AH135" s="57"/>
      <c r="AI135" s="57"/>
      <c r="AJ135" s="57"/>
    </row>
    <row r="136" spans="26:36" x14ac:dyDescent="0.2">
      <c r="Z136" s="57"/>
      <c r="AB136" s="57"/>
      <c r="AD136" s="57"/>
      <c r="AF136" s="57"/>
      <c r="AH136" s="57"/>
      <c r="AI136" s="57"/>
      <c r="AJ136" s="57"/>
    </row>
    <row r="137" spans="26:36" x14ac:dyDescent="0.2">
      <c r="Z137" s="57"/>
      <c r="AB137" s="57"/>
      <c r="AD137" s="57"/>
      <c r="AF137" s="57"/>
      <c r="AH137" s="57"/>
      <c r="AI137" s="57"/>
      <c r="AJ137" s="57"/>
    </row>
    <row r="138" spans="26:36" x14ac:dyDescent="0.2">
      <c r="Z138" s="57"/>
      <c r="AB138" s="57"/>
      <c r="AD138" s="57"/>
      <c r="AF138" s="57"/>
      <c r="AH138" s="57"/>
      <c r="AI138" s="57"/>
      <c r="AJ138" s="57"/>
    </row>
    <row r="139" spans="26:36" x14ac:dyDescent="0.2">
      <c r="Z139" s="57"/>
      <c r="AB139" s="57"/>
      <c r="AD139" s="57"/>
      <c r="AF139" s="57"/>
      <c r="AH139" s="57"/>
      <c r="AI139" s="57"/>
      <c r="AJ139" s="57"/>
    </row>
    <row r="140" spans="26:36" x14ac:dyDescent="0.2">
      <c r="Z140" s="57"/>
      <c r="AB140" s="57"/>
      <c r="AD140" s="57"/>
      <c r="AF140" s="57"/>
      <c r="AH140" s="57"/>
      <c r="AI140" s="57"/>
      <c r="AJ140" s="57"/>
    </row>
    <row r="141" spans="26:36" x14ac:dyDescent="0.2">
      <c r="Z141" s="57"/>
      <c r="AB141" s="57"/>
      <c r="AD141" s="57"/>
      <c r="AF141" s="57"/>
      <c r="AH141" s="57"/>
      <c r="AI141" s="57"/>
      <c r="AJ141" s="57"/>
    </row>
    <row r="142" spans="26:36" x14ac:dyDescent="0.2">
      <c r="Z142" s="57"/>
      <c r="AB142" s="57"/>
      <c r="AD142" s="57"/>
      <c r="AF142" s="57"/>
      <c r="AH142" s="57"/>
      <c r="AI142" s="57"/>
      <c r="AJ142" s="57"/>
    </row>
    <row r="143" spans="26:36" x14ac:dyDescent="0.2">
      <c r="Z143" s="57"/>
      <c r="AB143" s="57"/>
      <c r="AD143" s="57"/>
      <c r="AF143" s="57"/>
      <c r="AH143" s="57"/>
      <c r="AI143" s="57"/>
      <c r="AJ143" s="57"/>
    </row>
    <row r="144" spans="26:36" x14ac:dyDescent="0.2">
      <c r="Z144" s="57"/>
      <c r="AB144" s="57"/>
      <c r="AD144" s="57"/>
      <c r="AF144" s="57"/>
      <c r="AH144" s="57"/>
      <c r="AI144" s="57"/>
      <c r="AJ144" s="57"/>
    </row>
    <row r="145" spans="26:36" x14ac:dyDescent="0.2">
      <c r="Z145" s="57"/>
      <c r="AB145" s="57"/>
      <c r="AD145" s="57"/>
      <c r="AF145" s="57"/>
      <c r="AH145" s="57"/>
      <c r="AI145" s="57"/>
      <c r="AJ145" s="57"/>
    </row>
    <row r="146" spans="26:36" x14ac:dyDescent="0.2">
      <c r="Z146" s="57"/>
      <c r="AB146" s="57"/>
      <c r="AD146" s="57"/>
      <c r="AF146" s="57"/>
      <c r="AH146" s="57"/>
      <c r="AI146" s="57"/>
      <c r="AJ146" s="57"/>
    </row>
    <row r="147" spans="26:36" x14ac:dyDescent="0.2">
      <c r="Z147" s="57"/>
      <c r="AB147" s="57"/>
      <c r="AD147" s="57"/>
      <c r="AF147" s="57"/>
      <c r="AH147" s="57"/>
      <c r="AI147" s="57"/>
      <c r="AJ147" s="57"/>
    </row>
    <row r="148" spans="26:36" x14ac:dyDescent="0.2">
      <c r="Z148" s="57"/>
      <c r="AB148" s="57"/>
      <c r="AD148" s="57"/>
      <c r="AF148" s="57"/>
      <c r="AH148" s="57"/>
      <c r="AI148" s="57"/>
      <c r="AJ148" s="57"/>
    </row>
    <row r="149" spans="26:36" x14ac:dyDescent="0.2">
      <c r="Z149" s="57"/>
      <c r="AB149" s="57"/>
      <c r="AD149" s="57"/>
      <c r="AF149" s="57"/>
      <c r="AH149" s="57"/>
      <c r="AI149" s="57"/>
      <c r="AJ149" s="57"/>
    </row>
    <row r="150" spans="26:36" x14ac:dyDescent="0.2">
      <c r="Z150" s="57"/>
      <c r="AB150" s="57"/>
      <c r="AD150" s="57"/>
      <c r="AF150" s="57"/>
      <c r="AH150" s="57"/>
      <c r="AI150" s="57"/>
      <c r="AJ150" s="57"/>
    </row>
    <row r="151" spans="26:36" x14ac:dyDescent="0.2">
      <c r="Z151" s="57"/>
      <c r="AB151" s="57"/>
      <c r="AD151" s="57"/>
      <c r="AF151" s="57"/>
      <c r="AH151" s="57"/>
      <c r="AI151" s="57"/>
      <c r="AJ151" s="57"/>
    </row>
    <row r="152" spans="26:36" x14ac:dyDescent="0.2">
      <c r="Z152" s="57"/>
      <c r="AB152" s="57"/>
      <c r="AD152" s="57"/>
      <c r="AF152" s="57"/>
      <c r="AH152" s="57"/>
      <c r="AI152" s="57"/>
      <c r="AJ152" s="57"/>
    </row>
    <row r="153" spans="26:36" x14ac:dyDescent="0.2">
      <c r="Z153" s="57"/>
      <c r="AB153" s="57"/>
      <c r="AD153" s="57"/>
      <c r="AF153" s="57"/>
      <c r="AH153" s="57"/>
      <c r="AI153" s="57"/>
      <c r="AJ153" s="5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13CA-3AD7-4DDC-BE72-7E8979AF1D5F}">
  <sheetPr>
    <tabColor rgb="FF92D050"/>
  </sheetPr>
  <dimension ref="A1:AJ9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66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66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ht="12.75" customHeigh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ht="12.75" customHeigh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ht="12.75" customHeigh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ht="12.75" customHeight="1" x14ac:dyDescent="0.2">
      <c r="A4" s="50" t="s">
        <v>460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76"/>
      <c r="AB4" s="52"/>
      <c r="AC4" s="106"/>
      <c r="AD4" s="52"/>
      <c r="AE4" s="76"/>
      <c r="AF4" s="52"/>
      <c r="AH4" s="52"/>
      <c r="AI4" s="52"/>
      <c r="AJ4" s="52"/>
    </row>
    <row r="5" spans="1:36" s="51" customFormat="1" ht="12.75" customHeigh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76"/>
      <c r="AB5" s="52"/>
      <c r="AC5" s="106"/>
      <c r="AD5" s="52"/>
      <c r="AE5" s="76"/>
      <c r="AF5" s="52"/>
      <c r="AH5" s="52"/>
      <c r="AI5" s="52"/>
      <c r="AJ5" s="52"/>
    </row>
    <row r="6" spans="1:36" ht="12.75" customHeight="1" x14ac:dyDescent="0.2">
      <c r="A6" s="55" t="s">
        <v>396</v>
      </c>
      <c r="B6" s="56" t="s">
        <v>219</v>
      </c>
      <c r="C6" s="77">
        <v>115328.69</v>
      </c>
      <c r="E6" s="77">
        <v>152785.09</v>
      </c>
      <c r="G6" s="77">
        <v>141756.98000000001</v>
      </c>
      <c r="I6" s="77">
        <v>82950</v>
      </c>
      <c r="K6" s="77">
        <v>82950</v>
      </c>
      <c r="M6" s="77">
        <v>89320.56</v>
      </c>
      <c r="O6" s="77">
        <f>PRODUCT(M6,0/12)</f>
        <v>0</v>
      </c>
      <c r="Q6" s="77">
        <f t="shared" ref="Q6:Q11" si="0">SUM(M6,O6)</f>
        <v>89320.56</v>
      </c>
      <c r="S6" s="77">
        <v>95000</v>
      </c>
      <c r="U6" s="77">
        <v>95000</v>
      </c>
      <c r="W6" s="77">
        <v>95000</v>
      </c>
      <c r="Y6" s="77">
        <f t="shared" ref="Y6:Y11" si="1">SUM(W6,-I6)</f>
        <v>12050</v>
      </c>
      <c r="Z6" s="57"/>
      <c r="AA6" s="58">
        <f>IF(W6=0,"N/A",PRODUCT(Y6,1/I6))</f>
        <v>0.14526823387582882</v>
      </c>
      <c r="AB6" s="57"/>
      <c r="AC6" s="77">
        <f t="shared" ref="AC6:AC11" si="2">SUM(W6,-Q6)</f>
        <v>5679.4400000000023</v>
      </c>
      <c r="AD6" s="57"/>
      <c r="AE6" s="58">
        <f>IF(W6=0,"N/A",PRODUCT(AC6,1/Q6))</f>
        <v>6.3584912588994097E-2</v>
      </c>
      <c r="AF6" s="57"/>
      <c r="AH6" s="57"/>
      <c r="AI6" s="57"/>
      <c r="AJ6" s="57"/>
    </row>
    <row r="7" spans="1:36" ht="12.75" customHeight="1" x14ac:dyDescent="0.2">
      <c r="A7" s="59" t="s">
        <v>397</v>
      </c>
      <c r="B7" s="60" t="s">
        <v>286</v>
      </c>
      <c r="C7" s="79">
        <v>7961.41</v>
      </c>
      <c r="D7" s="80"/>
      <c r="E7" s="79">
        <v>11291.99</v>
      </c>
      <c r="F7" s="80"/>
      <c r="G7" s="79">
        <v>10061.94</v>
      </c>
      <c r="H7" s="79"/>
      <c r="I7" s="79">
        <v>6350</v>
      </c>
      <c r="J7" s="79"/>
      <c r="K7" s="79">
        <v>6350</v>
      </c>
      <c r="L7" s="79"/>
      <c r="M7" s="79">
        <v>6444.22</v>
      </c>
      <c r="N7" s="79"/>
      <c r="O7" s="79">
        <f>PRODUCT(M7,0/12)</f>
        <v>0</v>
      </c>
      <c r="P7" s="79"/>
      <c r="Q7" s="79">
        <f t="shared" si="0"/>
        <v>6444.22</v>
      </c>
      <c r="R7" s="79"/>
      <c r="S7" s="79">
        <v>7500</v>
      </c>
      <c r="T7" s="79"/>
      <c r="U7" s="79">
        <v>7500</v>
      </c>
      <c r="V7" s="79"/>
      <c r="W7" s="79">
        <v>7500</v>
      </c>
      <c r="X7" s="79"/>
      <c r="Y7" s="79">
        <f t="shared" si="1"/>
        <v>1150</v>
      </c>
      <c r="Z7" s="62"/>
      <c r="AA7" s="63">
        <f t="shared" ref="AA7:AA12" si="3">IF(W7=0,"N/A",PRODUCT(Y7,1/I7))</f>
        <v>0.18110236220472439</v>
      </c>
      <c r="AB7" s="62"/>
      <c r="AC7" s="79">
        <f t="shared" si="2"/>
        <v>1055.7799999999997</v>
      </c>
      <c r="AD7" s="62"/>
      <c r="AE7" s="63">
        <f t="shared" ref="AE7:AE12" si="4">IF(W7=0,"N/A",PRODUCT(AC7,1/Q7))</f>
        <v>0.16383363696459768</v>
      </c>
      <c r="AF7" s="57"/>
      <c r="AH7" s="57"/>
      <c r="AI7" s="57"/>
      <c r="AJ7" s="57"/>
    </row>
    <row r="8" spans="1:36" ht="12.75" customHeight="1" x14ac:dyDescent="0.2">
      <c r="A8" s="55" t="s">
        <v>398</v>
      </c>
      <c r="B8" s="56" t="s">
        <v>221</v>
      </c>
      <c r="C8" s="77">
        <v>23594.38</v>
      </c>
      <c r="E8" s="77">
        <v>29866.21</v>
      </c>
      <c r="G8" s="77">
        <v>29551.58</v>
      </c>
      <c r="I8" s="77">
        <v>15500</v>
      </c>
      <c r="K8" s="77">
        <v>15500</v>
      </c>
      <c r="M8" s="77">
        <v>15355.47</v>
      </c>
      <c r="O8" s="77">
        <f>PRODUCT(M8,0/12)</f>
        <v>0</v>
      </c>
      <c r="Q8" s="77">
        <f t="shared" si="0"/>
        <v>15355.47</v>
      </c>
      <c r="S8" s="77">
        <v>17000</v>
      </c>
      <c r="U8" s="77">
        <v>17000</v>
      </c>
      <c r="W8" s="77">
        <v>17000</v>
      </c>
      <c r="Y8" s="77">
        <f t="shared" si="1"/>
        <v>1500</v>
      </c>
      <c r="Z8" s="57"/>
      <c r="AA8" s="58">
        <f t="shared" si="3"/>
        <v>9.6774193548387094E-2</v>
      </c>
      <c r="AB8" s="57"/>
      <c r="AC8" s="77">
        <f t="shared" si="2"/>
        <v>1644.5300000000007</v>
      </c>
      <c r="AD8" s="57"/>
      <c r="AE8" s="58">
        <f t="shared" si="4"/>
        <v>0.1070973405568179</v>
      </c>
      <c r="AF8" s="57"/>
      <c r="AH8" s="57"/>
      <c r="AI8" s="57"/>
      <c r="AJ8" s="57"/>
    </row>
    <row r="9" spans="1:36" ht="12.75" customHeight="1" x14ac:dyDescent="0.2">
      <c r="A9" s="59" t="s">
        <v>399</v>
      </c>
      <c r="B9" s="60" t="s">
        <v>400</v>
      </c>
      <c r="C9" s="79">
        <v>5575.59</v>
      </c>
      <c r="D9" s="80"/>
      <c r="E9" s="79">
        <v>7652.85</v>
      </c>
      <c r="F9" s="80"/>
      <c r="G9" s="79">
        <v>8435.31</v>
      </c>
      <c r="H9" s="79"/>
      <c r="I9" s="79">
        <v>1550</v>
      </c>
      <c r="J9" s="79"/>
      <c r="K9" s="79">
        <v>1550</v>
      </c>
      <c r="L9" s="79"/>
      <c r="M9" s="79">
        <v>1193.0999999999999</v>
      </c>
      <c r="N9" s="79"/>
      <c r="O9" s="79">
        <v>0</v>
      </c>
      <c r="P9" s="79"/>
      <c r="Q9" s="79">
        <f t="shared" si="0"/>
        <v>1193.0999999999999</v>
      </c>
      <c r="R9" s="79"/>
      <c r="S9" s="79">
        <v>0</v>
      </c>
      <c r="T9" s="79"/>
      <c r="U9" s="79">
        <v>0</v>
      </c>
      <c r="V9" s="79"/>
      <c r="W9" s="79">
        <v>0</v>
      </c>
      <c r="X9" s="79"/>
      <c r="Y9" s="79">
        <f t="shared" si="1"/>
        <v>-1550</v>
      </c>
      <c r="Z9" s="62"/>
      <c r="AA9" s="63" t="str">
        <f t="shared" si="3"/>
        <v>N/A</v>
      </c>
      <c r="AB9" s="62"/>
      <c r="AC9" s="79">
        <f t="shared" si="2"/>
        <v>-1193.0999999999999</v>
      </c>
      <c r="AD9" s="62"/>
      <c r="AE9" s="63" t="str">
        <f t="shared" si="4"/>
        <v>N/A</v>
      </c>
      <c r="AF9" s="57"/>
      <c r="AH9" s="57"/>
      <c r="AI9" s="57"/>
      <c r="AJ9" s="57"/>
    </row>
    <row r="10" spans="1:36" ht="12.75" customHeight="1" x14ac:dyDescent="0.2">
      <c r="A10" s="55" t="s">
        <v>402</v>
      </c>
      <c r="B10" s="56" t="s">
        <v>401</v>
      </c>
      <c r="C10" s="77">
        <v>2300.96</v>
      </c>
      <c r="E10" s="77">
        <v>3853.12</v>
      </c>
      <c r="G10" s="77">
        <v>3007.71</v>
      </c>
      <c r="I10" s="77">
        <v>1000</v>
      </c>
      <c r="K10" s="77">
        <v>1000</v>
      </c>
      <c r="M10" s="77">
        <v>0</v>
      </c>
      <c r="O10" s="77">
        <v>0</v>
      </c>
      <c r="Q10" s="77">
        <f t="shared" si="0"/>
        <v>0</v>
      </c>
      <c r="S10" s="77">
        <v>0</v>
      </c>
      <c r="U10" s="77">
        <v>0</v>
      </c>
      <c r="W10" s="77">
        <v>0</v>
      </c>
      <c r="Y10" s="77">
        <f t="shared" si="1"/>
        <v>-1000</v>
      </c>
      <c r="Z10" s="57"/>
      <c r="AA10" s="58" t="str">
        <f t="shared" si="3"/>
        <v>N/A</v>
      </c>
      <c r="AB10" s="57"/>
      <c r="AC10" s="77">
        <f t="shared" si="2"/>
        <v>0</v>
      </c>
      <c r="AD10" s="57"/>
      <c r="AE10" s="58" t="str">
        <f t="shared" si="4"/>
        <v>N/A</v>
      </c>
      <c r="AF10" s="57"/>
      <c r="AH10" s="57"/>
      <c r="AI10" s="57"/>
      <c r="AJ10" s="57"/>
    </row>
    <row r="11" spans="1:36" ht="12.75" customHeight="1" x14ac:dyDescent="0.2">
      <c r="A11" s="59" t="s">
        <v>403</v>
      </c>
      <c r="B11" s="60" t="s">
        <v>46</v>
      </c>
      <c r="C11" s="79">
        <v>0</v>
      </c>
      <c r="D11" s="80"/>
      <c r="E11" s="79">
        <v>0</v>
      </c>
      <c r="F11" s="80"/>
      <c r="G11" s="79">
        <v>0</v>
      </c>
      <c r="H11" s="79"/>
      <c r="I11" s="79">
        <v>5250</v>
      </c>
      <c r="J11" s="79"/>
      <c r="K11" s="79">
        <v>5250</v>
      </c>
      <c r="L11" s="79"/>
      <c r="M11" s="79">
        <v>5931.86</v>
      </c>
      <c r="N11" s="79"/>
      <c r="O11" s="79">
        <f>PRODUCT(M11,0/9)</f>
        <v>0</v>
      </c>
      <c r="P11" s="79"/>
      <c r="Q11" s="79">
        <f t="shared" si="0"/>
        <v>5931.86</v>
      </c>
      <c r="R11" s="79"/>
      <c r="S11" s="79">
        <v>9000</v>
      </c>
      <c r="T11" s="79"/>
      <c r="U11" s="79">
        <v>9000</v>
      </c>
      <c r="V11" s="79"/>
      <c r="W11" s="79">
        <v>9000</v>
      </c>
      <c r="X11" s="79"/>
      <c r="Y11" s="79">
        <f t="shared" si="1"/>
        <v>3750</v>
      </c>
      <c r="Z11" s="62"/>
      <c r="AA11" s="63">
        <f t="shared" si="3"/>
        <v>0.7142857142857143</v>
      </c>
      <c r="AB11" s="62"/>
      <c r="AC11" s="79">
        <f t="shared" si="2"/>
        <v>3068.1400000000003</v>
      </c>
      <c r="AD11" s="62"/>
      <c r="AE11" s="63">
        <f t="shared" si="4"/>
        <v>0.51723068312468612</v>
      </c>
      <c r="AF11" s="57"/>
      <c r="AH11" s="57"/>
      <c r="AI11" s="57"/>
      <c r="AJ11" s="57"/>
    </row>
    <row r="12" spans="1:36" ht="12.75" customHeight="1" x14ac:dyDescent="0.2">
      <c r="A12" s="64" t="s">
        <v>47</v>
      </c>
      <c r="C12" s="81">
        <f>SUM(C6:C11)</f>
        <v>154761.03</v>
      </c>
      <c r="E12" s="81">
        <f>SUM(E6:E11)</f>
        <v>205449.25999999998</v>
      </c>
      <c r="G12" s="81">
        <f>SUM(G6:G11)</f>
        <v>192813.52</v>
      </c>
      <c r="I12" s="81">
        <f>SUM(I6:I11)</f>
        <v>112600</v>
      </c>
      <c r="K12" s="81">
        <f>SUM(K6:K11)</f>
        <v>112600</v>
      </c>
      <c r="M12" s="81">
        <f>SUM(M6:M11)</f>
        <v>118245.21</v>
      </c>
      <c r="O12" s="81">
        <f>SUM(O6:O11)</f>
        <v>0</v>
      </c>
      <c r="Q12" s="81">
        <f>SUM(Q6:Q11)</f>
        <v>118245.21</v>
      </c>
      <c r="S12" s="81">
        <f>SUM(S6:S11)</f>
        <v>128500</v>
      </c>
      <c r="U12" s="81">
        <f>SUM(U6:U11)</f>
        <v>128500</v>
      </c>
      <c r="W12" s="81">
        <f>SUM(W6:W11)</f>
        <v>128500</v>
      </c>
      <c r="Y12" s="81">
        <f>SUM(Y6:Y11)</f>
        <v>15900</v>
      </c>
      <c r="Z12" s="57"/>
      <c r="AA12" s="65">
        <f t="shared" si="3"/>
        <v>0.14120781527531084</v>
      </c>
      <c r="AB12" s="57"/>
      <c r="AC12" s="81">
        <f>SUM(AC6:AC11)</f>
        <v>10254.790000000005</v>
      </c>
      <c r="AD12" s="57"/>
      <c r="AE12" s="65">
        <f t="shared" si="4"/>
        <v>8.6724781494320183E-2</v>
      </c>
      <c r="AF12" s="57"/>
      <c r="AH12" s="57"/>
      <c r="AI12" s="57"/>
      <c r="AJ12" s="57"/>
    </row>
    <row r="13" spans="1:36" ht="12.75" customHeight="1" x14ac:dyDescent="0.2">
      <c r="Z13" s="57"/>
      <c r="AA13" s="58"/>
      <c r="AB13" s="57"/>
      <c r="AD13" s="57"/>
      <c r="AE13" s="58"/>
      <c r="AF13" s="57"/>
      <c r="AH13" s="57"/>
      <c r="AI13" s="57"/>
      <c r="AJ13" s="57"/>
    </row>
    <row r="14" spans="1:36" ht="12.75" customHeight="1" x14ac:dyDescent="0.2">
      <c r="A14" s="54" t="s">
        <v>48</v>
      </c>
      <c r="Z14" s="57"/>
      <c r="AA14" s="58"/>
      <c r="AB14" s="57"/>
      <c r="AD14" s="57"/>
      <c r="AE14" s="58"/>
      <c r="AF14" s="57"/>
      <c r="AH14" s="57"/>
      <c r="AI14" s="57"/>
      <c r="AJ14" s="57"/>
    </row>
    <row r="15" spans="1:36" ht="12.75" customHeight="1" x14ac:dyDescent="0.2">
      <c r="A15" s="59" t="s">
        <v>404</v>
      </c>
      <c r="B15" s="60" t="s">
        <v>296</v>
      </c>
      <c r="C15" s="79">
        <v>2817.9</v>
      </c>
      <c r="D15" s="80"/>
      <c r="E15" s="79">
        <v>0</v>
      </c>
      <c r="F15" s="80"/>
      <c r="G15" s="79">
        <v>663.75</v>
      </c>
      <c r="H15" s="79"/>
      <c r="I15" s="79">
        <v>4000</v>
      </c>
      <c r="J15" s="79"/>
      <c r="K15" s="79">
        <v>4000</v>
      </c>
      <c r="L15" s="79"/>
      <c r="M15" s="79">
        <v>3747.97</v>
      </c>
      <c r="N15" s="79"/>
      <c r="O15" s="79">
        <f>PRODUCT(M15,0/12)</f>
        <v>0</v>
      </c>
      <c r="P15" s="79"/>
      <c r="Q15" s="79">
        <f>SUM(M15,O15)</f>
        <v>3747.97</v>
      </c>
      <c r="R15" s="79"/>
      <c r="S15" s="79">
        <v>2000</v>
      </c>
      <c r="T15" s="79"/>
      <c r="U15" s="79">
        <v>4000</v>
      </c>
      <c r="V15" s="79"/>
      <c r="W15" s="79">
        <v>4000</v>
      </c>
      <c r="X15" s="79"/>
      <c r="Y15" s="79">
        <f>SUM(W15,-I15)</f>
        <v>0</v>
      </c>
      <c r="Z15" s="62"/>
      <c r="AA15" s="63">
        <f t="shared" ref="AA15:AA20" si="5">IF(W15=0,"N/A",PRODUCT(Y15,1/I15))</f>
        <v>0</v>
      </c>
      <c r="AB15" s="62"/>
      <c r="AC15" s="79">
        <f>SUM(W15,-Q15)</f>
        <v>252.0300000000002</v>
      </c>
      <c r="AD15" s="62"/>
      <c r="AE15" s="63">
        <f t="shared" ref="AE15:AE20" si="6">IF(W15=0,"N/A",PRODUCT(AC15,1/Q15))</f>
        <v>6.7244401636085721E-2</v>
      </c>
      <c r="AF15" s="57"/>
      <c r="AH15" s="57"/>
      <c r="AI15" s="57"/>
      <c r="AJ15" s="57"/>
    </row>
    <row r="16" spans="1:36" ht="12.75" customHeight="1" x14ac:dyDescent="0.2">
      <c r="A16" s="55" t="s">
        <v>405</v>
      </c>
      <c r="B16" s="56" t="s">
        <v>308</v>
      </c>
      <c r="C16" s="77">
        <v>26091.15</v>
      </c>
      <c r="E16" s="77">
        <v>38471.730000000003</v>
      </c>
      <c r="G16" s="77">
        <v>100575.95</v>
      </c>
      <c r="I16" s="77">
        <v>62200</v>
      </c>
      <c r="K16" s="77">
        <v>62200</v>
      </c>
      <c r="M16" s="77">
        <v>58422.5</v>
      </c>
      <c r="O16" s="77">
        <f>PRODUCT(M16,0/12)</f>
        <v>0</v>
      </c>
      <c r="Q16" s="77">
        <f>SUM(M16,O16)</f>
        <v>58422.5</v>
      </c>
      <c r="S16" s="77">
        <v>65000</v>
      </c>
      <c r="U16" s="77">
        <v>62400</v>
      </c>
      <c r="W16" s="77">
        <v>62500</v>
      </c>
      <c r="Y16" s="77">
        <f>SUM(W16,-I16)</f>
        <v>300</v>
      </c>
      <c r="Z16" s="57"/>
      <c r="AA16" s="58">
        <f t="shared" si="5"/>
        <v>4.8231511254019288E-3</v>
      </c>
      <c r="AB16" s="57"/>
      <c r="AC16" s="77">
        <f>SUM(W16,-Q16)</f>
        <v>4077.5</v>
      </c>
      <c r="AD16" s="57"/>
      <c r="AE16" s="58">
        <f t="shared" si="6"/>
        <v>6.9793315931362052E-2</v>
      </c>
      <c r="AF16" s="57"/>
      <c r="AH16" s="57"/>
      <c r="AI16" s="57"/>
      <c r="AJ16" s="57"/>
    </row>
    <row r="17" spans="1:36" ht="12.75" customHeight="1" x14ac:dyDescent="0.2">
      <c r="A17" s="59" t="s">
        <v>406</v>
      </c>
      <c r="B17" s="60" t="s">
        <v>318</v>
      </c>
      <c r="C17" s="79">
        <v>14172.32</v>
      </c>
      <c r="D17" s="80"/>
      <c r="E17" s="79">
        <v>21732.69</v>
      </c>
      <c r="F17" s="80"/>
      <c r="G17" s="79">
        <v>41036.050000000003</v>
      </c>
      <c r="H17" s="79"/>
      <c r="I17" s="79">
        <v>38300</v>
      </c>
      <c r="J17" s="79"/>
      <c r="K17" s="79">
        <v>38300</v>
      </c>
      <c r="L17" s="79"/>
      <c r="M17" s="79">
        <v>40406.230000000003</v>
      </c>
      <c r="N17" s="79"/>
      <c r="O17" s="79">
        <f>PRODUCT(M17,0/12)</f>
        <v>0</v>
      </c>
      <c r="P17" s="79"/>
      <c r="Q17" s="79">
        <f>SUM(M17,O17)</f>
        <v>40406.230000000003</v>
      </c>
      <c r="R17" s="79"/>
      <c r="S17" s="79">
        <v>38000</v>
      </c>
      <c r="T17" s="79"/>
      <c r="U17" s="79">
        <v>44960</v>
      </c>
      <c r="V17" s="79"/>
      <c r="W17" s="79">
        <v>45000</v>
      </c>
      <c r="X17" s="79"/>
      <c r="Y17" s="79">
        <f>SUM(W17,-I17)</f>
        <v>6700</v>
      </c>
      <c r="Z17" s="62"/>
      <c r="AA17" s="63">
        <f t="shared" si="5"/>
        <v>0.17493472584856395</v>
      </c>
      <c r="AB17" s="62"/>
      <c r="AC17" s="79">
        <f>SUM(W17,-Q17)</f>
        <v>4593.7699999999968</v>
      </c>
      <c r="AD17" s="62"/>
      <c r="AE17" s="63">
        <f t="shared" si="6"/>
        <v>0.1136896463738388</v>
      </c>
      <c r="AF17" s="57"/>
      <c r="AG17" s="56" t="s">
        <v>1088</v>
      </c>
      <c r="AH17" s="57"/>
      <c r="AI17" s="57"/>
      <c r="AJ17" s="57"/>
    </row>
    <row r="18" spans="1:36" ht="12.75" customHeight="1" x14ac:dyDescent="0.2">
      <c r="A18" s="55" t="s">
        <v>407</v>
      </c>
      <c r="B18" s="56" t="s">
        <v>325</v>
      </c>
      <c r="C18" s="77">
        <v>1164.07</v>
      </c>
      <c r="E18" s="77">
        <v>3846.73</v>
      </c>
      <c r="G18" s="77">
        <v>132.03</v>
      </c>
      <c r="I18" s="77">
        <v>1000</v>
      </c>
      <c r="K18" s="77">
        <v>1000</v>
      </c>
      <c r="M18" s="77">
        <v>621.76</v>
      </c>
      <c r="O18" s="77">
        <f>PRODUCT(M18,0/12)</f>
        <v>0</v>
      </c>
      <c r="Q18" s="77">
        <f>SUM(M18,O18)</f>
        <v>621.76</v>
      </c>
      <c r="S18" s="77">
        <v>1250</v>
      </c>
      <c r="U18" s="77">
        <v>1000</v>
      </c>
      <c r="W18" s="77">
        <v>1000</v>
      </c>
      <c r="Y18" s="77">
        <f>SUM(W18,-I18)</f>
        <v>0</v>
      </c>
      <c r="Z18" s="57"/>
      <c r="AA18" s="58">
        <f t="shared" si="5"/>
        <v>0</v>
      </c>
      <c r="AB18" s="57"/>
      <c r="AC18" s="77">
        <f>SUM(W18,-Q18)</f>
        <v>378.24</v>
      </c>
      <c r="AD18" s="57"/>
      <c r="AE18" s="58">
        <f t="shared" si="6"/>
        <v>0.60833762223365939</v>
      </c>
      <c r="AF18" s="57"/>
      <c r="AH18" s="57"/>
      <c r="AI18" s="57"/>
      <c r="AJ18" s="57"/>
    </row>
    <row r="19" spans="1:36" ht="12.75" customHeight="1" x14ac:dyDescent="0.2">
      <c r="A19" s="59" t="s">
        <v>408</v>
      </c>
      <c r="B19" s="60" t="s">
        <v>327</v>
      </c>
      <c r="C19" s="79">
        <v>126.46</v>
      </c>
      <c r="D19" s="80"/>
      <c r="E19" s="79">
        <v>636.20000000000005</v>
      </c>
      <c r="F19" s="80"/>
      <c r="G19" s="79">
        <v>159.72</v>
      </c>
      <c r="H19" s="79"/>
      <c r="I19" s="79">
        <v>1000</v>
      </c>
      <c r="J19" s="79"/>
      <c r="K19" s="79">
        <v>1000</v>
      </c>
      <c r="L19" s="79"/>
      <c r="M19" s="79">
        <v>296.16000000000003</v>
      </c>
      <c r="N19" s="79"/>
      <c r="O19" s="79">
        <f>PRODUCT(M19,0/12)</f>
        <v>0</v>
      </c>
      <c r="P19" s="79"/>
      <c r="Q19" s="79">
        <f>SUM(M19,O19)</f>
        <v>296.16000000000003</v>
      </c>
      <c r="R19" s="79"/>
      <c r="S19" s="79">
        <v>1000</v>
      </c>
      <c r="T19" s="79"/>
      <c r="U19" s="79">
        <v>1000</v>
      </c>
      <c r="V19" s="79"/>
      <c r="W19" s="79">
        <v>1000</v>
      </c>
      <c r="X19" s="79"/>
      <c r="Y19" s="79">
        <f>SUM(W19,-I19)</f>
        <v>0</v>
      </c>
      <c r="Z19" s="62"/>
      <c r="AA19" s="63">
        <f t="shared" si="5"/>
        <v>0</v>
      </c>
      <c r="AB19" s="62"/>
      <c r="AC19" s="79">
        <f>SUM(W19,-Q19)</f>
        <v>703.83999999999992</v>
      </c>
      <c r="AD19" s="62"/>
      <c r="AE19" s="63">
        <f t="shared" si="6"/>
        <v>2.3765532144786596</v>
      </c>
      <c r="AF19" s="57"/>
      <c r="AH19" s="57"/>
      <c r="AI19" s="57"/>
      <c r="AJ19" s="57"/>
    </row>
    <row r="20" spans="1:36" ht="12.75" customHeight="1" x14ac:dyDescent="0.2">
      <c r="A20" s="64" t="s">
        <v>49</v>
      </c>
      <c r="C20" s="81">
        <f>SUM(C15:C19)</f>
        <v>44371.9</v>
      </c>
      <c r="E20" s="81">
        <f>SUM(E15:E19)</f>
        <v>64687.35</v>
      </c>
      <c r="G20" s="81">
        <f>SUM(G15:G19)</f>
        <v>142567.5</v>
      </c>
      <c r="I20" s="81">
        <f>SUM(I15:I19)</f>
        <v>106500</v>
      </c>
      <c r="K20" s="81">
        <f>SUM(K15:K19)</f>
        <v>106500</v>
      </c>
      <c r="M20" s="81">
        <f>SUM(M15:M19)</f>
        <v>103494.62000000001</v>
      </c>
      <c r="O20" s="81">
        <f>SUM(O15:O19)</f>
        <v>0</v>
      </c>
      <c r="Q20" s="81">
        <f>SUM(Q15:Q19)</f>
        <v>103494.62000000001</v>
      </c>
      <c r="S20" s="81">
        <f>SUM(S15:S19)</f>
        <v>107250</v>
      </c>
      <c r="U20" s="81">
        <f>SUM(U15:U19)</f>
        <v>113360</v>
      </c>
      <c r="W20" s="81">
        <f>SUM(W15:W19)</f>
        <v>113500</v>
      </c>
      <c r="Y20" s="81">
        <f>SUM(Y15:Y19)</f>
        <v>7000</v>
      </c>
      <c r="Z20" s="57"/>
      <c r="AA20" s="65">
        <f t="shared" si="5"/>
        <v>6.5727699530516423E-2</v>
      </c>
      <c r="AB20" s="57"/>
      <c r="AC20" s="81">
        <f>SUM(AC15:AC19)</f>
        <v>10005.379999999997</v>
      </c>
      <c r="AD20" s="57"/>
      <c r="AE20" s="65">
        <f t="shared" si="6"/>
        <v>9.6675363415025778E-2</v>
      </c>
      <c r="AF20" s="57"/>
      <c r="AH20" s="57"/>
      <c r="AI20" s="57"/>
      <c r="AJ20" s="57"/>
    </row>
    <row r="21" spans="1:36" ht="12.75" customHeight="1" x14ac:dyDescent="0.2">
      <c r="Z21" s="57"/>
      <c r="AA21" s="58"/>
      <c r="AB21" s="57"/>
      <c r="AD21" s="57"/>
      <c r="AE21" s="58"/>
      <c r="AF21" s="57"/>
      <c r="AH21" s="57"/>
      <c r="AI21" s="57"/>
      <c r="AJ21" s="57"/>
    </row>
    <row r="22" spans="1:36" ht="12.75" customHeight="1" x14ac:dyDescent="0.2">
      <c r="A22" s="54" t="s">
        <v>69</v>
      </c>
      <c r="Z22" s="57"/>
      <c r="AA22" s="58"/>
      <c r="AB22" s="57"/>
      <c r="AD22" s="57"/>
      <c r="AE22" s="58"/>
      <c r="AF22" s="57"/>
      <c r="AH22" s="57"/>
      <c r="AI22" s="57"/>
      <c r="AJ22" s="57"/>
    </row>
    <row r="23" spans="1:36" ht="12.75" customHeight="1" x14ac:dyDescent="0.2">
      <c r="A23" s="59" t="s">
        <v>409</v>
      </c>
      <c r="B23" s="60" t="s">
        <v>217</v>
      </c>
      <c r="C23" s="79">
        <v>211.83</v>
      </c>
      <c r="D23" s="80"/>
      <c r="E23" s="79">
        <v>0</v>
      </c>
      <c r="F23" s="80"/>
      <c r="G23" s="79">
        <v>0</v>
      </c>
      <c r="H23" s="79"/>
      <c r="I23" s="79">
        <v>0</v>
      </c>
      <c r="J23" s="79"/>
      <c r="K23" s="79">
        <v>0</v>
      </c>
      <c r="L23" s="79"/>
      <c r="M23" s="79">
        <v>0</v>
      </c>
      <c r="N23" s="79"/>
      <c r="O23" s="79">
        <f>PRODUCT(M23,0/12)</f>
        <v>0</v>
      </c>
      <c r="P23" s="79"/>
      <c r="Q23" s="79">
        <f>SUM(M23,O23)</f>
        <v>0</v>
      </c>
      <c r="R23" s="79"/>
      <c r="S23" s="79">
        <v>0</v>
      </c>
      <c r="T23" s="79"/>
      <c r="U23" s="79">
        <v>0</v>
      </c>
      <c r="V23" s="79"/>
      <c r="W23" s="79">
        <v>300</v>
      </c>
      <c r="X23" s="79"/>
      <c r="Y23" s="79">
        <f>SUM(W23,-I23)</f>
        <v>300</v>
      </c>
      <c r="Z23" s="62"/>
      <c r="AA23" s="63" t="e">
        <f>IF(W23=0,"N/A",PRODUCT(Y23,1/I23))</f>
        <v>#DIV/0!</v>
      </c>
      <c r="AB23" s="62"/>
      <c r="AC23" s="79">
        <f>SUM(W23,-Q23)</f>
        <v>300</v>
      </c>
      <c r="AD23" s="62"/>
      <c r="AE23" s="63" t="e">
        <f>IF(W23=0,"N/A",PRODUCT(AC23,1/Q23))</f>
        <v>#DIV/0!</v>
      </c>
      <c r="AF23" s="57"/>
      <c r="AH23" s="57"/>
      <c r="AI23" s="57"/>
      <c r="AJ23" s="57"/>
    </row>
    <row r="24" spans="1:36" ht="12.75" customHeight="1" x14ac:dyDescent="0.2">
      <c r="A24" s="64" t="s">
        <v>70</v>
      </c>
      <c r="C24" s="81">
        <f>SUM(C23:C23)</f>
        <v>211.83</v>
      </c>
      <c r="E24" s="81">
        <f>SUM(E23:E23)</f>
        <v>0</v>
      </c>
      <c r="G24" s="81">
        <f>SUM(G23:G23)</f>
        <v>0</v>
      </c>
      <c r="I24" s="81">
        <f>SUM(I23:I23)</f>
        <v>0</v>
      </c>
      <c r="K24" s="81">
        <f>SUM(K23:K23)</f>
        <v>0</v>
      </c>
      <c r="M24" s="81">
        <f>SUM(M23:M23)</f>
        <v>0</v>
      </c>
      <c r="O24" s="81">
        <f>SUM(O23:O23)</f>
        <v>0</v>
      </c>
      <c r="Q24" s="81">
        <f>SUM(Q23:Q23)</f>
        <v>0</v>
      </c>
      <c r="S24" s="81">
        <f>SUM(S23:S23)</f>
        <v>0</v>
      </c>
      <c r="U24" s="81">
        <f>SUM(U23:U23)</f>
        <v>0</v>
      </c>
      <c r="W24" s="81">
        <f>SUM(W23:W23)</f>
        <v>300</v>
      </c>
      <c r="Y24" s="81">
        <f>SUM(Y23:Y23)</f>
        <v>300</v>
      </c>
      <c r="Z24" s="57"/>
      <c r="AA24" s="65" t="e">
        <f>IF(W24=0,"N/A",PRODUCT(Y24,1/I24))</f>
        <v>#DIV/0!</v>
      </c>
      <c r="AB24" s="57"/>
      <c r="AC24" s="81">
        <f>SUM(AC23:AC23)</f>
        <v>300</v>
      </c>
      <c r="AD24" s="57"/>
      <c r="AE24" s="65" t="e">
        <f>IF(W24=0,"N/A",PRODUCT(AC24,1/Q24))</f>
        <v>#DIV/0!</v>
      </c>
      <c r="AF24" s="57"/>
      <c r="AH24" s="57"/>
      <c r="AI24" s="57"/>
      <c r="AJ24" s="57"/>
    </row>
    <row r="25" spans="1:36" ht="12.75" customHeight="1" x14ac:dyDescent="0.2">
      <c r="A25" s="55"/>
      <c r="Z25" s="57"/>
      <c r="AA25" s="58"/>
      <c r="AB25" s="57"/>
      <c r="AD25" s="57"/>
      <c r="AE25" s="58"/>
      <c r="AF25" s="57"/>
      <c r="AH25" s="57"/>
      <c r="AI25" s="57"/>
      <c r="AJ25" s="57"/>
    </row>
    <row r="26" spans="1:36" ht="12.75" customHeight="1" x14ac:dyDescent="0.2">
      <c r="A26" s="54" t="s">
        <v>388</v>
      </c>
      <c r="Z26" s="57"/>
      <c r="AA26" s="58"/>
      <c r="AB26" s="57"/>
      <c r="AD26" s="57"/>
      <c r="AE26" s="58"/>
      <c r="AF26" s="57"/>
      <c r="AH26" s="57"/>
      <c r="AI26" s="57"/>
      <c r="AJ26" s="57"/>
    </row>
    <row r="27" spans="1:36" ht="12.75" customHeight="1" x14ac:dyDescent="0.2">
      <c r="A27" s="59" t="s">
        <v>410</v>
      </c>
      <c r="B27" s="60" t="s">
        <v>240</v>
      </c>
      <c r="C27" s="79">
        <v>0</v>
      </c>
      <c r="D27" s="80"/>
      <c r="E27" s="79">
        <v>15688.87</v>
      </c>
      <c r="F27" s="80"/>
      <c r="G27" s="79">
        <v>0</v>
      </c>
      <c r="H27" s="79"/>
      <c r="I27" s="79">
        <v>0</v>
      </c>
      <c r="J27" s="79"/>
      <c r="K27" s="79">
        <v>0</v>
      </c>
      <c r="L27" s="79"/>
      <c r="M27" s="79">
        <v>0</v>
      </c>
      <c r="N27" s="79"/>
      <c r="O27" s="79">
        <f>PRODUCT(M27,0/12)</f>
        <v>0</v>
      </c>
      <c r="P27" s="79"/>
      <c r="Q27" s="79">
        <f>SUM(M27,O27)</f>
        <v>0</v>
      </c>
      <c r="R27" s="79"/>
      <c r="S27" s="79">
        <v>0</v>
      </c>
      <c r="T27" s="79"/>
      <c r="U27" s="79">
        <v>0</v>
      </c>
      <c r="V27" s="79"/>
      <c r="W27" s="79">
        <v>0</v>
      </c>
      <c r="X27" s="79"/>
      <c r="Y27" s="79">
        <f>SUM(W27,-I27)</f>
        <v>0</v>
      </c>
      <c r="Z27" s="62"/>
      <c r="AA27" s="63" t="str">
        <f>IF(W27=0,"N/A",PRODUCT(Y27,1/I27))</f>
        <v>N/A</v>
      </c>
      <c r="AB27" s="62"/>
      <c r="AC27" s="79">
        <f>SUM(W27,-Q27)</f>
        <v>0</v>
      </c>
      <c r="AD27" s="62"/>
      <c r="AE27" s="63" t="str">
        <f>IF(W27=0,"N/A",PRODUCT(AC27,1/Q27))</f>
        <v>N/A</v>
      </c>
      <c r="AF27" s="57"/>
      <c r="AH27" s="57"/>
      <c r="AI27" s="57"/>
      <c r="AJ27" s="57"/>
    </row>
    <row r="28" spans="1:36" ht="12.75" customHeight="1" x14ac:dyDescent="0.2">
      <c r="A28" s="64" t="s">
        <v>459</v>
      </c>
      <c r="C28" s="81">
        <f>SUM(C27:C27)</f>
        <v>0</v>
      </c>
      <c r="E28" s="81">
        <f>SUM(E27:E27)</f>
        <v>15688.87</v>
      </c>
      <c r="F28" s="77"/>
      <c r="G28" s="81">
        <f>SUM(G27:G27)</f>
        <v>0</v>
      </c>
      <c r="I28" s="81">
        <f>SUM(I27:I27)</f>
        <v>0</v>
      </c>
      <c r="K28" s="81">
        <f>SUM(K27:K27)</f>
        <v>0</v>
      </c>
      <c r="M28" s="81">
        <f>SUM(M27:M27)</f>
        <v>0</v>
      </c>
      <c r="O28" s="81">
        <f>SUM(O27:O27)</f>
        <v>0</v>
      </c>
      <c r="Q28" s="81">
        <f>SUM(Q27:Q27)</f>
        <v>0</v>
      </c>
      <c r="S28" s="81">
        <f>SUM(S27:S27)</f>
        <v>0</v>
      </c>
      <c r="U28" s="81">
        <f>SUM(U27:U27)</f>
        <v>0</v>
      </c>
      <c r="W28" s="81">
        <f>SUM(W27:W27)</f>
        <v>0</v>
      </c>
      <c r="Y28" s="81">
        <f>SUM(Y27:Y27)</f>
        <v>0</v>
      </c>
      <c r="Z28" s="57"/>
      <c r="AA28" s="65" t="str">
        <f>IF(W28=0,"N/A",PRODUCT(Y28,1/I28))</f>
        <v>N/A</v>
      </c>
      <c r="AB28" s="57"/>
      <c r="AC28" s="81">
        <f>SUM(AC27:AC27)</f>
        <v>0</v>
      </c>
      <c r="AD28" s="57"/>
      <c r="AE28" s="65" t="str">
        <f>IF(W28=0,"N/A",PRODUCT(AC28,1/Q28))</f>
        <v>N/A</v>
      </c>
      <c r="AF28" s="57"/>
      <c r="AH28" s="57"/>
      <c r="AI28" s="57"/>
      <c r="AJ28" s="57"/>
    </row>
    <row r="29" spans="1:36" ht="12.75" customHeight="1" x14ac:dyDescent="0.2">
      <c r="Z29" s="57"/>
      <c r="AA29" s="58"/>
      <c r="AB29" s="57"/>
      <c r="AD29" s="57"/>
      <c r="AE29" s="58"/>
      <c r="AF29" s="57"/>
      <c r="AH29" s="57"/>
      <c r="AI29" s="57"/>
      <c r="AJ29" s="57"/>
    </row>
    <row r="30" spans="1:36" ht="12.75" customHeight="1" thickBot="1" x14ac:dyDescent="0.25">
      <c r="A30" s="67" t="s">
        <v>461</v>
      </c>
      <c r="C30" s="83">
        <f>SUM(C12,C20,C24,C28)</f>
        <v>199344.75999999998</v>
      </c>
      <c r="E30" s="83">
        <f>SUM(E12,E20,E24,E28)</f>
        <v>285825.48</v>
      </c>
      <c r="G30" s="83">
        <f>SUM(G12,G20,G24,G28)</f>
        <v>335381.02</v>
      </c>
      <c r="I30" s="83">
        <f>SUM(I12,I20,I24,I28)</f>
        <v>219100</v>
      </c>
      <c r="K30" s="83">
        <f>SUM(K12,K20,K24,K28)</f>
        <v>219100</v>
      </c>
      <c r="M30" s="82">
        <f>SUM(M12,M20,M24,M28)</f>
        <v>221739.83000000002</v>
      </c>
      <c r="O30" s="82">
        <f>SUM(O12,O20,O24,O28)</f>
        <v>0</v>
      </c>
      <c r="Q30" s="83">
        <f>SUM(Q12,Q20,Q24,Q28)</f>
        <v>221739.83000000002</v>
      </c>
      <c r="S30" s="82">
        <f>SUM(S12,S20,S24,S28)</f>
        <v>235750</v>
      </c>
      <c r="U30" s="82">
        <f>SUM(U12,U20,U24,U28)</f>
        <v>241860</v>
      </c>
      <c r="W30" s="83">
        <f>SUM(W12,W20,W24,W28)</f>
        <v>242300</v>
      </c>
      <c r="Y30" s="82">
        <f>SUM(Y12,Y20,Y24,Y28)</f>
        <v>23200</v>
      </c>
      <c r="Z30" s="57"/>
      <c r="AA30" s="125">
        <f>IF(W30=0,"N/A",PRODUCT(Y30,1/I30))</f>
        <v>0.10588772250114104</v>
      </c>
      <c r="AB30" s="57"/>
      <c r="AC30" s="82">
        <f>SUM(AC12,AC20,AC24,AC28)</f>
        <v>20560.170000000002</v>
      </c>
      <c r="AD30" s="57"/>
      <c r="AE30" s="125">
        <f>IF(W30=0,"N/A",PRODUCT(AC30,1/Q30))</f>
        <v>9.2722042765163118E-2</v>
      </c>
      <c r="AF30" s="57"/>
      <c r="AH30" s="57"/>
      <c r="AI30" s="57"/>
      <c r="AJ30" s="57"/>
    </row>
    <row r="31" spans="1:36" ht="12.75" customHeight="1" thickTop="1" x14ac:dyDescent="0.2">
      <c r="Z31" s="57"/>
      <c r="AB31" s="57"/>
      <c r="AD31" s="57"/>
      <c r="AF31" s="57"/>
      <c r="AH31" s="57"/>
      <c r="AI31" s="57"/>
      <c r="AJ31" s="57"/>
    </row>
    <row r="32" spans="1:36" ht="12.75" customHeight="1" x14ac:dyDescent="0.2">
      <c r="Z32" s="57"/>
      <c r="AB32" s="57"/>
      <c r="AD32" s="57"/>
      <c r="AF32" s="57"/>
      <c r="AH32" s="57"/>
      <c r="AI32" s="57"/>
      <c r="AJ32" s="57"/>
    </row>
    <row r="33" spans="26:36" ht="12.75" customHeight="1" x14ac:dyDescent="0.2">
      <c r="Z33" s="57"/>
      <c r="AB33" s="57"/>
      <c r="AD33" s="57"/>
      <c r="AF33" s="57"/>
      <c r="AH33" s="57"/>
      <c r="AI33" s="57"/>
      <c r="AJ33" s="57"/>
    </row>
    <row r="34" spans="26:36" ht="12.75" customHeight="1" x14ac:dyDescent="0.2">
      <c r="Z34" s="57"/>
      <c r="AB34" s="57"/>
      <c r="AD34" s="57"/>
      <c r="AF34" s="57"/>
      <c r="AH34" s="57"/>
      <c r="AI34" s="57"/>
      <c r="AJ34" s="57"/>
    </row>
    <row r="35" spans="26:36" ht="12.75" customHeight="1" x14ac:dyDescent="0.2">
      <c r="Z35" s="57"/>
      <c r="AB35" s="57"/>
      <c r="AD35" s="57"/>
      <c r="AF35" s="57"/>
      <c r="AH35" s="57"/>
      <c r="AI35" s="57"/>
      <c r="AJ35" s="57"/>
    </row>
    <row r="36" spans="26:36" ht="12.75" customHeight="1" x14ac:dyDescent="0.2">
      <c r="Z36" s="57"/>
      <c r="AB36" s="57"/>
      <c r="AD36" s="57"/>
      <c r="AF36" s="57"/>
      <c r="AH36" s="57"/>
      <c r="AI36" s="57"/>
      <c r="AJ36" s="57"/>
    </row>
    <row r="37" spans="26:36" ht="12.75" customHeight="1" x14ac:dyDescent="0.2">
      <c r="Z37" s="57"/>
      <c r="AB37" s="57"/>
      <c r="AD37" s="57"/>
      <c r="AF37" s="57"/>
      <c r="AH37" s="57"/>
      <c r="AI37" s="57"/>
      <c r="AJ37" s="57"/>
    </row>
    <row r="38" spans="26:36" ht="12.75" customHeight="1" x14ac:dyDescent="0.2">
      <c r="Z38" s="57"/>
      <c r="AB38" s="57"/>
      <c r="AD38" s="57"/>
      <c r="AF38" s="57"/>
      <c r="AH38" s="57"/>
      <c r="AI38" s="57"/>
      <c r="AJ38" s="57"/>
    </row>
    <row r="39" spans="26:36" ht="12.75" customHeight="1" x14ac:dyDescent="0.2">
      <c r="Z39" s="57"/>
      <c r="AB39" s="57"/>
      <c r="AD39" s="57"/>
      <c r="AF39" s="57"/>
      <c r="AH39" s="57"/>
      <c r="AI39" s="57"/>
      <c r="AJ39" s="57"/>
    </row>
    <row r="40" spans="26:36" x14ac:dyDescent="0.2">
      <c r="Z40" s="57"/>
      <c r="AB40" s="57"/>
      <c r="AD40" s="57"/>
      <c r="AF40" s="57"/>
      <c r="AH40" s="57"/>
      <c r="AI40" s="57"/>
      <c r="AJ40" s="57"/>
    </row>
    <row r="41" spans="26:36" x14ac:dyDescent="0.2">
      <c r="Z41" s="57"/>
      <c r="AB41" s="57"/>
      <c r="AD41" s="57"/>
      <c r="AF41" s="57"/>
      <c r="AH41" s="57"/>
      <c r="AI41" s="57"/>
      <c r="AJ41" s="57"/>
    </row>
    <row r="42" spans="26:36" x14ac:dyDescent="0.2">
      <c r="Z42" s="57"/>
      <c r="AB42" s="57"/>
      <c r="AD42" s="57"/>
      <c r="AF42" s="57"/>
      <c r="AH42" s="57"/>
      <c r="AI42" s="57"/>
      <c r="AJ42" s="57"/>
    </row>
    <row r="43" spans="26:36" x14ac:dyDescent="0.2">
      <c r="Z43" s="57"/>
      <c r="AB43" s="57"/>
      <c r="AD43" s="57"/>
      <c r="AF43" s="57"/>
      <c r="AH43" s="57"/>
      <c r="AI43" s="57"/>
      <c r="AJ43" s="57"/>
    </row>
    <row r="44" spans="26:36" x14ac:dyDescent="0.2">
      <c r="Z44" s="57"/>
      <c r="AB44" s="57"/>
      <c r="AD44" s="57"/>
      <c r="AF44" s="57"/>
      <c r="AH44" s="57"/>
      <c r="AI44" s="57"/>
      <c r="AJ44" s="57"/>
    </row>
    <row r="45" spans="26:36" x14ac:dyDescent="0.2">
      <c r="Z45" s="57"/>
      <c r="AB45" s="57"/>
      <c r="AD45" s="57"/>
      <c r="AF45" s="57"/>
      <c r="AH45" s="57"/>
      <c r="AI45" s="57"/>
      <c r="AJ45" s="57"/>
    </row>
    <row r="46" spans="26:36" x14ac:dyDescent="0.2">
      <c r="Z46" s="57"/>
      <c r="AB46" s="57"/>
      <c r="AD46" s="57"/>
      <c r="AF46" s="57"/>
      <c r="AH46" s="57"/>
      <c r="AI46" s="57"/>
      <c r="AJ46" s="57"/>
    </row>
    <row r="47" spans="26:36" x14ac:dyDescent="0.2">
      <c r="Z47" s="57"/>
      <c r="AB47" s="57"/>
      <c r="AD47" s="57"/>
      <c r="AF47" s="57"/>
      <c r="AH47" s="57"/>
      <c r="AI47" s="57"/>
      <c r="AJ47" s="57"/>
    </row>
    <row r="48" spans="26:36" x14ac:dyDescent="0.2">
      <c r="Z48" s="57"/>
      <c r="AB48" s="57"/>
      <c r="AD48" s="57"/>
      <c r="AF48" s="57"/>
      <c r="AH48" s="57"/>
      <c r="AI48" s="57"/>
      <c r="AJ48" s="57"/>
    </row>
    <row r="49" spans="26:36" x14ac:dyDescent="0.2">
      <c r="Z49" s="57"/>
      <c r="AB49" s="57"/>
      <c r="AD49" s="57"/>
      <c r="AF49" s="57"/>
      <c r="AH49" s="57"/>
      <c r="AI49" s="57"/>
      <c r="AJ49" s="57"/>
    </row>
    <row r="50" spans="26:36" x14ac:dyDescent="0.2">
      <c r="Z50" s="57"/>
      <c r="AB50" s="57"/>
      <c r="AD50" s="57"/>
      <c r="AF50" s="57"/>
      <c r="AH50" s="57"/>
      <c r="AI50" s="57"/>
      <c r="AJ50" s="57"/>
    </row>
    <row r="51" spans="26:36" x14ac:dyDescent="0.2">
      <c r="Z51" s="57"/>
      <c r="AB51" s="57"/>
      <c r="AD51" s="57"/>
      <c r="AF51" s="57"/>
      <c r="AH51" s="57"/>
      <c r="AI51" s="57"/>
      <c r="AJ51" s="57"/>
    </row>
    <row r="52" spans="26:36" x14ac:dyDescent="0.2">
      <c r="Z52" s="57"/>
      <c r="AB52" s="57"/>
      <c r="AD52" s="57"/>
      <c r="AF52" s="57"/>
      <c r="AH52" s="57"/>
      <c r="AI52" s="57"/>
      <c r="AJ52" s="57"/>
    </row>
    <row r="53" spans="26:36" x14ac:dyDescent="0.2">
      <c r="Z53" s="57"/>
      <c r="AB53" s="57"/>
      <c r="AD53" s="57"/>
      <c r="AF53" s="57"/>
      <c r="AH53" s="57"/>
      <c r="AI53" s="57"/>
      <c r="AJ53" s="57"/>
    </row>
    <row r="54" spans="26:36" x14ac:dyDescent="0.2">
      <c r="Z54" s="57"/>
      <c r="AB54" s="57"/>
      <c r="AD54" s="57"/>
      <c r="AF54" s="57"/>
      <c r="AH54" s="57"/>
      <c r="AI54" s="57"/>
      <c r="AJ54" s="57"/>
    </row>
    <row r="55" spans="26:36" x14ac:dyDescent="0.2">
      <c r="Z55" s="57"/>
      <c r="AB55" s="57"/>
      <c r="AD55" s="57"/>
      <c r="AF55" s="57"/>
      <c r="AH55" s="57"/>
      <c r="AI55" s="57"/>
      <c r="AJ55" s="57"/>
    </row>
    <row r="56" spans="26:36" x14ac:dyDescent="0.2">
      <c r="Z56" s="57"/>
      <c r="AB56" s="57"/>
      <c r="AD56" s="57"/>
      <c r="AF56" s="57"/>
      <c r="AH56" s="57"/>
      <c r="AI56" s="57"/>
      <c r="AJ56" s="57"/>
    </row>
    <row r="57" spans="26:36" x14ac:dyDescent="0.2">
      <c r="Z57" s="57"/>
      <c r="AB57" s="57"/>
      <c r="AD57" s="57"/>
      <c r="AF57" s="57"/>
      <c r="AH57" s="57"/>
      <c r="AI57" s="57"/>
      <c r="AJ57" s="57"/>
    </row>
    <row r="58" spans="26:36" x14ac:dyDescent="0.2">
      <c r="Z58" s="57"/>
      <c r="AB58" s="57"/>
      <c r="AD58" s="57"/>
      <c r="AF58" s="57"/>
      <c r="AH58" s="57"/>
      <c r="AI58" s="57"/>
      <c r="AJ58" s="57"/>
    </row>
    <row r="59" spans="26:36" x14ac:dyDescent="0.2">
      <c r="Z59" s="57"/>
      <c r="AB59" s="57"/>
      <c r="AD59" s="57"/>
      <c r="AF59" s="57"/>
      <c r="AH59" s="57"/>
      <c r="AI59" s="57"/>
      <c r="AJ59" s="57"/>
    </row>
    <row r="60" spans="26:36" x14ac:dyDescent="0.2">
      <c r="Z60" s="57"/>
      <c r="AB60" s="57"/>
      <c r="AD60" s="57"/>
      <c r="AF60" s="57"/>
      <c r="AH60" s="57"/>
      <c r="AI60" s="57"/>
      <c r="AJ60" s="57"/>
    </row>
    <row r="61" spans="26:36" x14ac:dyDescent="0.2">
      <c r="Z61" s="57"/>
      <c r="AB61" s="57"/>
      <c r="AD61" s="57"/>
      <c r="AF61" s="57"/>
      <c r="AH61" s="57"/>
      <c r="AI61" s="57"/>
      <c r="AJ61" s="57"/>
    </row>
    <row r="62" spans="26:36" x14ac:dyDescent="0.2">
      <c r="Z62" s="57"/>
      <c r="AB62" s="57"/>
      <c r="AD62" s="57"/>
      <c r="AF62" s="57"/>
      <c r="AH62" s="57"/>
      <c r="AI62" s="57"/>
      <c r="AJ62" s="57"/>
    </row>
    <row r="63" spans="26:36" x14ac:dyDescent="0.2">
      <c r="Z63" s="57"/>
      <c r="AB63" s="57"/>
      <c r="AD63" s="57"/>
      <c r="AF63" s="57"/>
      <c r="AH63" s="57"/>
      <c r="AI63" s="57"/>
      <c r="AJ63" s="57"/>
    </row>
    <row r="64" spans="26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  <row r="79" spans="26:36" x14ac:dyDescent="0.2">
      <c r="Z79" s="57"/>
      <c r="AB79" s="57"/>
      <c r="AD79" s="57"/>
      <c r="AF79" s="57"/>
      <c r="AH79" s="57"/>
      <c r="AI79" s="57"/>
      <c r="AJ79" s="57"/>
    </row>
    <row r="80" spans="26:36" x14ac:dyDescent="0.2">
      <c r="Z80" s="57"/>
      <c r="AB80" s="57"/>
      <c r="AD80" s="57"/>
      <c r="AF80" s="57"/>
      <c r="AH80" s="57"/>
      <c r="AI80" s="57"/>
      <c r="AJ80" s="57"/>
    </row>
    <row r="81" spans="26:36" x14ac:dyDescent="0.2">
      <c r="Z81" s="57"/>
      <c r="AB81" s="57"/>
      <c r="AD81" s="57"/>
      <c r="AF81" s="57"/>
      <c r="AH81" s="57"/>
      <c r="AI81" s="57"/>
      <c r="AJ81" s="57"/>
    </row>
    <row r="82" spans="26:36" x14ac:dyDescent="0.2">
      <c r="Z82" s="57"/>
      <c r="AB82" s="57"/>
      <c r="AD82" s="57"/>
      <c r="AF82" s="57"/>
      <c r="AH82" s="57"/>
      <c r="AI82" s="57"/>
      <c r="AJ82" s="57"/>
    </row>
    <row r="83" spans="26:36" x14ac:dyDescent="0.2">
      <c r="Z83" s="57"/>
      <c r="AB83" s="57"/>
      <c r="AD83" s="57"/>
      <c r="AF83" s="57"/>
      <c r="AH83" s="57"/>
      <c r="AI83" s="57"/>
      <c r="AJ83" s="57"/>
    </row>
    <row r="84" spans="26:36" x14ac:dyDescent="0.2">
      <c r="Z84" s="57"/>
      <c r="AB84" s="57"/>
      <c r="AD84" s="57"/>
      <c r="AF84" s="57"/>
      <c r="AH84" s="57"/>
      <c r="AI84" s="57"/>
      <c r="AJ84" s="57"/>
    </row>
    <row r="85" spans="26:36" x14ac:dyDescent="0.2">
      <c r="Z85" s="57"/>
      <c r="AB85" s="57"/>
      <c r="AD85" s="57"/>
      <c r="AF85" s="57"/>
      <c r="AH85" s="57"/>
      <c r="AI85" s="57"/>
      <c r="AJ85" s="57"/>
    </row>
    <row r="86" spans="26:36" x14ac:dyDescent="0.2">
      <c r="Z86" s="57"/>
      <c r="AB86" s="57"/>
      <c r="AD86" s="57"/>
      <c r="AF86" s="57"/>
      <c r="AH86" s="57"/>
      <c r="AI86" s="57"/>
      <c r="AJ86" s="57"/>
    </row>
    <row r="87" spans="26:36" x14ac:dyDescent="0.2">
      <c r="Z87" s="57"/>
      <c r="AB87" s="57"/>
      <c r="AD87" s="57"/>
      <c r="AF87" s="57"/>
      <c r="AH87" s="57"/>
      <c r="AI87" s="57"/>
      <c r="AJ87" s="57"/>
    </row>
    <row r="88" spans="26:36" x14ac:dyDescent="0.2">
      <c r="Z88" s="57"/>
      <c r="AB88" s="57"/>
      <c r="AD88" s="57"/>
      <c r="AF88" s="57"/>
      <c r="AH88" s="57"/>
      <c r="AI88" s="57"/>
      <c r="AJ88" s="57"/>
    </row>
    <row r="89" spans="26:36" x14ac:dyDescent="0.2">
      <c r="Z89" s="57"/>
      <c r="AB89" s="57"/>
      <c r="AD89" s="57"/>
      <c r="AF89" s="57"/>
      <c r="AH89" s="57"/>
      <c r="AI89" s="57"/>
      <c r="AJ89" s="57"/>
    </row>
    <row r="90" spans="26:36" x14ac:dyDescent="0.2">
      <c r="Z90" s="57"/>
      <c r="AB90" s="57"/>
      <c r="AD90" s="57"/>
      <c r="AF90" s="57"/>
      <c r="AH90" s="57"/>
      <c r="AI90" s="57"/>
      <c r="AJ90" s="57"/>
    </row>
    <row r="91" spans="26:36" x14ac:dyDescent="0.2">
      <c r="Z91" s="57"/>
      <c r="AB91" s="57"/>
      <c r="AD91" s="57"/>
      <c r="AF91" s="57"/>
      <c r="AH91" s="57"/>
      <c r="AI91" s="57"/>
      <c r="AJ91" s="57"/>
    </row>
    <row r="92" spans="26:36" x14ac:dyDescent="0.2">
      <c r="Z92" s="57"/>
      <c r="AB92" s="57"/>
      <c r="AD92" s="57"/>
      <c r="AF92" s="57"/>
      <c r="AH92" s="57"/>
      <c r="AI92" s="57"/>
      <c r="AJ92" s="57"/>
    </row>
    <row r="93" spans="26:36" x14ac:dyDescent="0.2">
      <c r="Z93" s="57"/>
      <c r="AB93" s="57"/>
      <c r="AD93" s="57"/>
      <c r="AF93" s="57"/>
      <c r="AH93" s="57"/>
      <c r="AI93" s="57"/>
      <c r="AJ93" s="57"/>
    </row>
    <row r="94" spans="26:36" x14ac:dyDescent="0.2">
      <c r="Z94" s="57"/>
      <c r="AB94" s="57"/>
      <c r="AD94" s="57"/>
      <c r="AF94" s="57"/>
      <c r="AH94" s="57"/>
      <c r="AI94" s="57"/>
      <c r="AJ94" s="57"/>
    </row>
    <row r="95" spans="26:36" x14ac:dyDescent="0.2">
      <c r="Z95" s="57"/>
      <c r="AB95" s="57"/>
      <c r="AD95" s="57"/>
      <c r="AF95" s="57"/>
      <c r="AH95" s="57"/>
      <c r="AI95" s="57"/>
      <c r="AJ95" s="57"/>
    </row>
    <row r="96" spans="26:36" x14ac:dyDescent="0.2">
      <c r="Z96" s="57"/>
      <c r="AB96" s="57"/>
      <c r="AD96" s="57"/>
      <c r="AF96" s="57"/>
      <c r="AH96" s="57"/>
      <c r="AI96" s="57"/>
      <c r="AJ96" s="57"/>
    </row>
    <row r="97" spans="26:36" x14ac:dyDescent="0.2">
      <c r="Z97" s="57"/>
      <c r="AB97" s="57"/>
      <c r="AD97" s="57"/>
      <c r="AF97" s="57"/>
      <c r="AH97" s="57"/>
      <c r="AI97" s="57"/>
      <c r="AJ97" s="57"/>
    </row>
    <row r="98" spans="26:36" x14ac:dyDescent="0.2">
      <c r="Z98" s="57"/>
      <c r="AB98" s="57"/>
      <c r="AD98" s="57"/>
      <c r="AF98" s="57"/>
      <c r="AH98" s="57"/>
      <c r="AI98" s="57"/>
      <c r="AJ98" s="5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5CC0-6250-4545-9328-6CD79A064D5F}">
  <sheetPr>
    <tabColor rgb="FF92D050"/>
  </sheetPr>
  <dimension ref="A1:AJ119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418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H5" s="52"/>
      <c r="AI5" s="52"/>
      <c r="AJ5" s="52"/>
    </row>
    <row r="6" spans="1:36" x14ac:dyDescent="0.2">
      <c r="A6" s="59" t="s">
        <v>419</v>
      </c>
      <c r="B6" s="60" t="s">
        <v>219</v>
      </c>
      <c r="C6" s="79">
        <v>1544592.52</v>
      </c>
      <c r="D6" s="80"/>
      <c r="E6" s="79">
        <v>1580323.41</v>
      </c>
      <c r="F6" s="80"/>
      <c r="G6" s="79">
        <v>1690850.84</v>
      </c>
      <c r="H6" s="79"/>
      <c r="I6" s="79">
        <v>1839600</v>
      </c>
      <c r="J6" s="79"/>
      <c r="K6" s="79">
        <v>1839600</v>
      </c>
      <c r="L6" s="79"/>
      <c r="M6" s="79">
        <v>1869939.4</v>
      </c>
      <c r="N6" s="79"/>
      <c r="O6" s="79">
        <f>PRODUCT(M6,0/12)</f>
        <v>0</v>
      </c>
      <c r="P6" s="79"/>
      <c r="Q6" s="79">
        <f t="shared" ref="Q6:Q14" si="0">SUM(M6,O6)</f>
        <v>1869939.4</v>
      </c>
      <c r="R6" s="79"/>
      <c r="S6" s="79">
        <v>1825000</v>
      </c>
      <c r="T6" s="79"/>
      <c r="U6" s="79">
        <v>1875000</v>
      </c>
      <c r="V6" s="79"/>
      <c r="W6" s="79">
        <v>1875000</v>
      </c>
      <c r="X6" s="79"/>
      <c r="Y6" s="79">
        <f t="shared" ref="Y6:Y14" si="1">SUM(W6,-I6)</f>
        <v>35400</v>
      </c>
      <c r="Z6" s="62"/>
      <c r="AA6" s="63">
        <f t="shared" ref="AA6:AA15" si="2">IF(W6=0,"N/A",PRODUCT(Y6,1/I6))</f>
        <v>1.9243313763861711E-2</v>
      </c>
      <c r="AB6" s="62"/>
      <c r="AC6" s="79">
        <f t="shared" ref="AC6:AC14" si="3">SUM(W6,-Q6)</f>
        <v>5060.6000000000931</v>
      </c>
      <c r="AD6" s="62"/>
      <c r="AE6" s="63">
        <f>IF(W6=0,"N/A",PRODUCT(AC6,1/Q6))</f>
        <v>2.7062909097482482E-3</v>
      </c>
      <c r="AF6" s="57"/>
      <c r="AG6" s="56" t="s">
        <v>983</v>
      </c>
      <c r="AH6" s="57"/>
      <c r="AI6" s="57"/>
      <c r="AJ6" s="57"/>
    </row>
    <row r="7" spans="1:36" x14ac:dyDescent="0.2">
      <c r="A7" s="55" t="s">
        <v>420</v>
      </c>
      <c r="B7" s="56" t="s">
        <v>220</v>
      </c>
      <c r="C7" s="77">
        <v>145861.26999999999</v>
      </c>
      <c r="E7" s="77">
        <v>123887.08</v>
      </c>
      <c r="G7" s="77">
        <v>124755.54</v>
      </c>
      <c r="I7" s="77">
        <v>116000</v>
      </c>
      <c r="K7" s="77">
        <v>116000</v>
      </c>
      <c r="M7" s="77">
        <v>169816.72</v>
      </c>
      <c r="O7" s="77">
        <f>PRODUCT(M7,0/12)</f>
        <v>0</v>
      </c>
      <c r="Q7" s="77">
        <f t="shared" si="0"/>
        <v>169816.72</v>
      </c>
      <c r="S7" s="77">
        <v>125000</v>
      </c>
      <c r="U7" s="77">
        <v>125000</v>
      </c>
      <c r="W7" s="77">
        <v>140000</v>
      </c>
      <c r="Y7" s="77">
        <f t="shared" si="1"/>
        <v>24000</v>
      </c>
      <c r="Z7" s="57"/>
      <c r="AA7" s="58">
        <f t="shared" si="2"/>
        <v>0.20689655172413793</v>
      </c>
      <c r="AB7" s="57"/>
      <c r="AC7" s="77">
        <f t="shared" si="3"/>
        <v>-29816.720000000001</v>
      </c>
      <c r="AD7" s="57"/>
      <c r="AE7" s="58">
        <f t="shared" ref="AE7:AE15" si="4">IF(W7=0,"N/A",PRODUCT(AC7,1/Q7))</f>
        <v>-0.17558176839123968</v>
      </c>
      <c r="AF7" s="57"/>
      <c r="AG7" s="56" t="s">
        <v>1089</v>
      </c>
      <c r="AH7" s="57"/>
      <c r="AI7" s="57"/>
      <c r="AJ7" s="57"/>
    </row>
    <row r="8" spans="1:36" x14ac:dyDescent="0.2">
      <c r="A8" s="59" t="s">
        <v>421</v>
      </c>
      <c r="B8" s="60" t="s">
        <v>422</v>
      </c>
      <c r="C8" s="79">
        <v>0</v>
      </c>
      <c r="D8" s="80"/>
      <c r="E8" s="79">
        <v>21297</v>
      </c>
      <c r="F8" s="80"/>
      <c r="G8" s="79">
        <v>0</v>
      </c>
      <c r="H8" s="79"/>
      <c r="I8" s="79">
        <v>60000</v>
      </c>
      <c r="J8" s="79"/>
      <c r="K8" s="79">
        <v>60000</v>
      </c>
      <c r="L8" s="79"/>
      <c r="M8" s="79">
        <v>24137.08</v>
      </c>
      <c r="N8" s="79"/>
      <c r="O8" s="79">
        <f>PRODUCT(M8,0/12)</f>
        <v>0</v>
      </c>
      <c r="P8" s="79"/>
      <c r="Q8" s="79">
        <f t="shared" si="0"/>
        <v>24137.08</v>
      </c>
      <c r="R8" s="79"/>
      <c r="S8" s="79">
        <v>65000</v>
      </c>
      <c r="T8" s="79"/>
      <c r="U8" s="79">
        <v>42500</v>
      </c>
      <c r="V8" s="79"/>
      <c r="W8" s="79">
        <v>42500</v>
      </c>
      <c r="X8" s="79"/>
      <c r="Y8" s="79">
        <f t="shared" si="1"/>
        <v>-17500</v>
      </c>
      <c r="Z8" s="62"/>
      <c r="AA8" s="63">
        <f t="shared" si="2"/>
        <v>-0.29166666666666669</v>
      </c>
      <c r="AB8" s="62"/>
      <c r="AC8" s="79">
        <f t="shared" si="3"/>
        <v>18362.919999999998</v>
      </c>
      <c r="AD8" s="62"/>
      <c r="AE8" s="63">
        <f t="shared" si="4"/>
        <v>0.7607763656581491</v>
      </c>
      <c r="AF8" s="57"/>
      <c r="AH8" s="57"/>
      <c r="AI8" s="57"/>
      <c r="AJ8" s="57"/>
    </row>
    <row r="9" spans="1:36" x14ac:dyDescent="0.2">
      <c r="A9" s="55" t="s">
        <v>423</v>
      </c>
      <c r="B9" s="56" t="s">
        <v>286</v>
      </c>
      <c r="C9" s="77">
        <v>119183.82</v>
      </c>
      <c r="E9" s="77">
        <v>129366.61</v>
      </c>
      <c r="G9" s="77">
        <v>132779.78</v>
      </c>
      <c r="I9" s="77">
        <v>154200</v>
      </c>
      <c r="K9" s="77">
        <v>154200</v>
      </c>
      <c r="M9" s="77">
        <v>147109.23000000001</v>
      </c>
      <c r="O9" s="77">
        <f>PRODUCT(M9,0/12)</f>
        <v>0</v>
      </c>
      <c r="Q9" s="77">
        <f t="shared" si="0"/>
        <v>147109.23000000001</v>
      </c>
      <c r="S9" s="77">
        <v>155000</v>
      </c>
      <c r="U9" s="77">
        <v>160000</v>
      </c>
      <c r="W9" s="77">
        <v>160000</v>
      </c>
      <c r="Y9" s="77">
        <f t="shared" si="1"/>
        <v>5800</v>
      </c>
      <c r="Z9" s="57"/>
      <c r="AA9" s="58">
        <f t="shared" si="2"/>
        <v>3.7613488975356678E-2</v>
      </c>
      <c r="AB9" s="57"/>
      <c r="AC9" s="77">
        <f t="shared" si="3"/>
        <v>12890.76999999999</v>
      </c>
      <c r="AD9" s="57"/>
      <c r="AE9" s="58">
        <f t="shared" si="4"/>
        <v>8.762720055023053E-2</v>
      </c>
      <c r="AF9" s="57"/>
      <c r="AH9" s="57"/>
      <c r="AI9" s="57"/>
      <c r="AJ9" s="57"/>
    </row>
    <row r="10" spans="1:36" x14ac:dyDescent="0.2">
      <c r="A10" s="59" t="s">
        <v>424</v>
      </c>
      <c r="B10" s="60" t="s">
        <v>221</v>
      </c>
      <c r="C10" s="79">
        <v>322669.90999999997</v>
      </c>
      <c r="D10" s="80"/>
      <c r="E10" s="79">
        <v>332801.94</v>
      </c>
      <c r="F10" s="80"/>
      <c r="G10" s="79">
        <v>301690.03000000003</v>
      </c>
      <c r="H10" s="79"/>
      <c r="I10" s="79">
        <v>310000</v>
      </c>
      <c r="J10" s="79"/>
      <c r="K10" s="79">
        <v>310000</v>
      </c>
      <c r="L10" s="79"/>
      <c r="M10" s="79">
        <v>294815.92</v>
      </c>
      <c r="N10" s="79"/>
      <c r="O10" s="79">
        <f>PRODUCT(M10,0/12)</f>
        <v>0</v>
      </c>
      <c r="P10" s="79"/>
      <c r="Q10" s="79">
        <f t="shared" si="0"/>
        <v>294815.92</v>
      </c>
      <c r="R10" s="79"/>
      <c r="S10" s="79">
        <v>340000</v>
      </c>
      <c r="T10" s="79"/>
      <c r="U10" s="79">
        <v>350000</v>
      </c>
      <c r="V10" s="79"/>
      <c r="W10" s="79">
        <v>350000</v>
      </c>
      <c r="X10" s="79"/>
      <c r="Y10" s="79">
        <f t="shared" si="1"/>
        <v>40000</v>
      </c>
      <c r="Z10" s="62"/>
      <c r="AA10" s="63">
        <f t="shared" si="2"/>
        <v>0.12903225806451613</v>
      </c>
      <c r="AB10" s="62"/>
      <c r="AC10" s="79">
        <f t="shared" si="3"/>
        <v>55184.080000000016</v>
      </c>
      <c r="AD10" s="62"/>
      <c r="AE10" s="63">
        <f t="shared" si="4"/>
        <v>0.18718147920912825</v>
      </c>
      <c r="AF10" s="57"/>
      <c r="AH10" s="57"/>
      <c r="AI10" s="57"/>
      <c r="AJ10" s="57"/>
    </row>
    <row r="11" spans="1:36" x14ac:dyDescent="0.2">
      <c r="A11" s="55" t="s">
        <v>425</v>
      </c>
      <c r="B11" s="56" t="s">
        <v>400</v>
      </c>
      <c r="C11" s="77">
        <v>94000.42</v>
      </c>
      <c r="E11" s="77">
        <v>92100.22</v>
      </c>
      <c r="G11" s="77">
        <v>102938</v>
      </c>
      <c r="I11" s="77">
        <v>27600</v>
      </c>
      <c r="K11" s="77">
        <v>27600</v>
      </c>
      <c r="M11" s="77">
        <v>21932.39</v>
      </c>
      <c r="O11" s="77">
        <v>0</v>
      </c>
      <c r="Q11" s="77">
        <f t="shared" si="0"/>
        <v>21932.39</v>
      </c>
      <c r="S11" s="77">
        <v>0</v>
      </c>
      <c r="U11" s="77">
        <v>0</v>
      </c>
      <c r="W11" s="77">
        <v>0</v>
      </c>
      <c r="Y11" s="77">
        <f t="shared" si="1"/>
        <v>-27600</v>
      </c>
      <c r="Z11" s="57"/>
      <c r="AA11" s="58" t="str">
        <f t="shared" si="2"/>
        <v>N/A</v>
      </c>
      <c r="AB11" s="57"/>
      <c r="AC11" s="77">
        <f t="shared" si="3"/>
        <v>-21932.39</v>
      </c>
      <c r="AD11" s="57"/>
      <c r="AE11" s="58" t="str">
        <f t="shared" si="4"/>
        <v>N/A</v>
      </c>
      <c r="AF11" s="57"/>
      <c r="AH11" s="57"/>
      <c r="AI11" s="57"/>
      <c r="AJ11" s="57"/>
    </row>
    <row r="12" spans="1:36" x14ac:dyDescent="0.2">
      <c r="A12" s="59" t="s">
        <v>426</v>
      </c>
      <c r="B12" s="60" t="s">
        <v>401</v>
      </c>
      <c r="C12" s="79">
        <v>72009.259999999995</v>
      </c>
      <c r="D12" s="80"/>
      <c r="E12" s="79">
        <v>72919.44</v>
      </c>
      <c r="F12" s="80"/>
      <c r="G12" s="79">
        <v>79845.64</v>
      </c>
      <c r="H12" s="79"/>
      <c r="I12" s="79">
        <v>21100</v>
      </c>
      <c r="J12" s="79"/>
      <c r="K12" s="79">
        <v>18600</v>
      </c>
      <c r="L12" s="79"/>
      <c r="M12" s="79">
        <v>16553.259999999998</v>
      </c>
      <c r="N12" s="79"/>
      <c r="O12" s="79">
        <v>0</v>
      </c>
      <c r="P12" s="79"/>
      <c r="Q12" s="79">
        <f t="shared" si="0"/>
        <v>16553.259999999998</v>
      </c>
      <c r="R12" s="79"/>
      <c r="S12" s="79">
        <v>0</v>
      </c>
      <c r="T12" s="79"/>
      <c r="U12" s="79">
        <v>0</v>
      </c>
      <c r="V12" s="79"/>
      <c r="W12" s="79">
        <v>0</v>
      </c>
      <c r="X12" s="79"/>
      <c r="Y12" s="79">
        <f t="shared" si="1"/>
        <v>-21100</v>
      </c>
      <c r="Z12" s="62"/>
      <c r="AA12" s="63" t="str">
        <f t="shared" si="2"/>
        <v>N/A</v>
      </c>
      <c r="AB12" s="62"/>
      <c r="AC12" s="79">
        <f t="shared" si="3"/>
        <v>-16553.259999999998</v>
      </c>
      <c r="AD12" s="62"/>
      <c r="AE12" s="63" t="str">
        <f t="shared" si="4"/>
        <v>N/A</v>
      </c>
      <c r="AF12" s="57"/>
      <c r="AH12" s="57"/>
      <c r="AI12" s="57"/>
      <c r="AJ12" s="57"/>
    </row>
    <row r="13" spans="1:36" x14ac:dyDescent="0.2">
      <c r="A13" s="55" t="s">
        <v>427</v>
      </c>
      <c r="B13" s="56" t="s">
        <v>46</v>
      </c>
      <c r="C13" s="77">
        <v>0</v>
      </c>
      <c r="E13" s="77">
        <v>0</v>
      </c>
      <c r="G13" s="77">
        <v>0</v>
      </c>
      <c r="I13" s="77">
        <v>123800</v>
      </c>
      <c r="K13" s="77">
        <v>123800</v>
      </c>
      <c r="M13" s="77">
        <v>128056.32000000001</v>
      </c>
      <c r="O13" s="77">
        <f>PRODUCT(M13,0/9)</f>
        <v>0</v>
      </c>
      <c r="Q13" s="77">
        <f t="shared" si="0"/>
        <v>128056.32000000001</v>
      </c>
      <c r="S13" s="77">
        <v>185000</v>
      </c>
      <c r="U13" s="77">
        <v>185000</v>
      </c>
      <c r="W13" s="77">
        <v>185000</v>
      </c>
      <c r="Y13" s="77">
        <f t="shared" si="1"/>
        <v>61200</v>
      </c>
      <c r="Z13" s="57"/>
      <c r="AA13" s="58">
        <f t="shared" si="2"/>
        <v>0.49434571890145396</v>
      </c>
      <c r="AB13" s="57"/>
      <c r="AC13" s="77">
        <f t="shared" si="3"/>
        <v>56943.679999999993</v>
      </c>
      <c r="AD13" s="57"/>
      <c r="AE13" s="58">
        <f t="shared" si="4"/>
        <v>0.44467684218943659</v>
      </c>
      <c r="AF13" s="57"/>
      <c r="AH13" s="57"/>
      <c r="AI13" s="57"/>
      <c r="AJ13" s="57"/>
    </row>
    <row r="14" spans="1:36" x14ac:dyDescent="0.2">
      <c r="A14" s="59" t="s">
        <v>428</v>
      </c>
      <c r="B14" s="60" t="s">
        <v>429</v>
      </c>
      <c r="C14" s="79">
        <v>6847.62</v>
      </c>
      <c r="D14" s="80"/>
      <c r="E14" s="79">
        <v>0</v>
      </c>
      <c r="F14" s="80"/>
      <c r="G14" s="79">
        <v>0</v>
      </c>
      <c r="H14" s="79"/>
      <c r="I14" s="79">
        <v>0</v>
      </c>
      <c r="J14" s="79"/>
      <c r="K14" s="79">
        <v>0</v>
      </c>
      <c r="L14" s="79"/>
      <c r="M14" s="79">
        <v>8530.3700000000008</v>
      </c>
      <c r="N14" s="79"/>
      <c r="O14" s="79">
        <f>PRODUCT(M14,0/12)</f>
        <v>0</v>
      </c>
      <c r="P14" s="79"/>
      <c r="Q14" s="79">
        <f t="shared" si="0"/>
        <v>8530.3700000000008</v>
      </c>
      <c r="R14" s="79"/>
      <c r="S14" s="79">
        <v>0</v>
      </c>
      <c r="T14" s="79"/>
      <c r="U14" s="79">
        <v>0</v>
      </c>
      <c r="V14" s="79"/>
      <c r="W14" s="79">
        <v>0</v>
      </c>
      <c r="X14" s="79"/>
      <c r="Y14" s="79">
        <f t="shared" si="1"/>
        <v>0</v>
      </c>
      <c r="Z14" s="62"/>
      <c r="AA14" s="63" t="str">
        <f t="shared" si="2"/>
        <v>N/A</v>
      </c>
      <c r="AB14" s="62"/>
      <c r="AC14" s="79">
        <f t="shared" si="3"/>
        <v>-8530.3700000000008</v>
      </c>
      <c r="AD14" s="62"/>
      <c r="AE14" s="63" t="str">
        <f t="shared" si="4"/>
        <v>N/A</v>
      </c>
      <c r="AF14" s="57"/>
      <c r="AH14" s="57"/>
      <c r="AI14" s="57"/>
      <c r="AJ14" s="57"/>
    </row>
    <row r="15" spans="1:36" x14ac:dyDescent="0.2">
      <c r="A15" s="64" t="s">
        <v>47</v>
      </c>
      <c r="C15" s="81">
        <f>SUM(C6:C14)</f>
        <v>2305164.8199999998</v>
      </c>
      <c r="E15" s="81">
        <f>SUM(E6:E14)</f>
        <v>2352695.7000000002</v>
      </c>
      <c r="G15" s="81">
        <f>SUM(G6:G14)</f>
        <v>2432859.8300000005</v>
      </c>
      <c r="I15" s="81">
        <f>SUM(I6:I14)</f>
        <v>2652300</v>
      </c>
      <c r="K15" s="81">
        <f>SUM(K6:K14)</f>
        <v>2649800</v>
      </c>
      <c r="M15" s="81">
        <f>SUM(M6:M14)</f>
        <v>2680890.69</v>
      </c>
      <c r="O15" s="81">
        <f>SUM(O6:O14)</f>
        <v>0</v>
      </c>
      <c r="Q15" s="81">
        <f>SUM(Q6:Q14)</f>
        <v>2680890.69</v>
      </c>
      <c r="S15" s="81">
        <f>SUM(S6:S14)</f>
        <v>2695000</v>
      </c>
      <c r="U15" s="81">
        <f>SUM(U6:U14)</f>
        <v>2737500</v>
      </c>
      <c r="W15" s="81">
        <f>SUM(W6:W14)</f>
        <v>2752500</v>
      </c>
      <c r="Y15" s="81">
        <f>SUM(Y6:Y14)</f>
        <v>100200</v>
      </c>
      <c r="Z15" s="57"/>
      <c r="AA15" s="65">
        <f t="shared" si="2"/>
        <v>3.7778531840289557E-2</v>
      </c>
      <c r="AB15" s="57"/>
      <c r="AC15" s="81">
        <f>SUM(AC6:AC14)</f>
        <v>71609.3100000001</v>
      </c>
      <c r="AD15" s="57"/>
      <c r="AE15" s="65">
        <f t="shared" si="4"/>
        <v>2.6711014465121703E-2</v>
      </c>
      <c r="AF15" s="57"/>
      <c r="AH15" s="57"/>
      <c r="AI15" s="57"/>
      <c r="AJ15" s="57"/>
    </row>
    <row r="16" spans="1:36" x14ac:dyDescent="0.2">
      <c r="Z16" s="57"/>
      <c r="AB16" s="57"/>
      <c r="AD16" s="57"/>
      <c r="AF16" s="57"/>
      <c r="AH16" s="57"/>
      <c r="AI16" s="57"/>
      <c r="AJ16" s="57"/>
    </row>
    <row r="17" spans="1:36" x14ac:dyDescent="0.2">
      <c r="A17" s="54" t="s">
        <v>48</v>
      </c>
      <c r="Z17" s="57"/>
      <c r="AB17" s="57"/>
      <c r="AD17" s="57"/>
      <c r="AF17" s="57"/>
      <c r="AH17" s="57"/>
      <c r="AI17" s="57"/>
      <c r="AJ17" s="57"/>
    </row>
    <row r="18" spans="1:36" x14ac:dyDescent="0.2">
      <c r="A18" s="55" t="s">
        <v>430</v>
      </c>
      <c r="B18" s="56" t="s">
        <v>296</v>
      </c>
      <c r="C18" s="77">
        <v>6000</v>
      </c>
      <c r="E18" s="77">
        <v>6000</v>
      </c>
      <c r="G18" s="77">
        <v>6000</v>
      </c>
      <c r="I18" s="77">
        <v>36000</v>
      </c>
      <c r="K18" s="77">
        <v>36000</v>
      </c>
      <c r="M18" s="77">
        <v>29832.93</v>
      </c>
      <c r="O18" s="77">
        <f t="shared" ref="O18:O27" si="5">PRODUCT(M18,0/12)</f>
        <v>0</v>
      </c>
      <c r="Q18" s="77">
        <f t="shared" ref="Q18:Q27" si="6">SUM(M18,O18)</f>
        <v>29832.93</v>
      </c>
      <c r="S18" s="77">
        <v>7000</v>
      </c>
      <c r="U18" s="77">
        <v>7000</v>
      </c>
      <c r="W18" s="77">
        <v>8000</v>
      </c>
      <c r="Y18" s="77">
        <f t="shared" ref="Y18:Y27" si="7">SUM(W18,-I18)</f>
        <v>-28000</v>
      </c>
      <c r="Z18" s="57"/>
      <c r="AA18" s="58">
        <f t="shared" ref="AA18:AA28" si="8">IF(W18=0,"N/A",PRODUCT(Y18,1/I18))</f>
        <v>-0.77777777777777779</v>
      </c>
      <c r="AB18" s="57"/>
      <c r="AC18" s="77">
        <f t="shared" ref="AC18:AC27" si="9">SUM(W18,-Q18)</f>
        <v>-21832.93</v>
      </c>
      <c r="AD18" s="57"/>
      <c r="AE18" s="58">
        <f t="shared" ref="AE18:AE28" si="10">IF(W18=0,"N/A",PRODUCT(AC18,1/Q18))</f>
        <v>-0.7318399500149666</v>
      </c>
      <c r="AF18" s="57"/>
      <c r="AG18" s="56" t="s">
        <v>1444</v>
      </c>
      <c r="AH18" s="57"/>
      <c r="AI18" s="57"/>
      <c r="AJ18" s="57"/>
    </row>
    <row r="19" spans="1:36" x14ac:dyDescent="0.2">
      <c r="A19" s="59" t="s">
        <v>431</v>
      </c>
      <c r="B19" s="60" t="s">
        <v>308</v>
      </c>
      <c r="C19" s="79">
        <v>23405.69</v>
      </c>
      <c r="D19" s="80"/>
      <c r="E19" s="79">
        <v>12253.68</v>
      </c>
      <c r="F19" s="80"/>
      <c r="G19" s="79">
        <v>9128.84</v>
      </c>
      <c r="H19" s="79"/>
      <c r="I19" s="79">
        <v>13750</v>
      </c>
      <c r="J19" s="79"/>
      <c r="K19" s="79">
        <v>13750</v>
      </c>
      <c r="L19" s="79"/>
      <c r="M19" s="79">
        <v>10025.14</v>
      </c>
      <c r="N19" s="79"/>
      <c r="O19" s="79">
        <f t="shared" si="5"/>
        <v>0</v>
      </c>
      <c r="P19" s="79"/>
      <c r="Q19" s="79">
        <f t="shared" si="6"/>
        <v>10025.14</v>
      </c>
      <c r="R19" s="79"/>
      <c r="S19" s="79">
        <v>12500</v>
      </c>
      <c r="T19" s="79"/>
      <c r="U19" s="79">
        <v>14000</v>
      </c>
      <c r="V19" s="79"/>
      <c r="W19" s="79">
        <v>14000</v>
      </c>
      <c r="X19" s="79"/>
      <c r="Y19" s="79">
        <f t="shared" si="7"/>
        <v>250</v>
      </c>
      <c r="Z19" s="62"/>
      <c r="AA19" s="63">
        <f t="shared" si="8"/>
        <v>1.8181818181818181E-2</v>
      </c>
      <c r="AB19" s="62"/>
      <c r="AC19" s="79">
        <f t="shared" si="9"/>
        <v>3974.8600000000006</v>
      </c>
      <c r="AD19" s="62"/>
      <c r="AE19" s="63">
        <f t="shared" si="10"/>
        <v>0.39648922608562082</v>
      </c>
      <c r="AF19" s="57"/>
      <c r="AH19" s="57"/>
      <c r="AI19" s="57"/>
      <c r="AJ19" s="57"/>
    </row>
    <row r="20" spans="1:36" x14ac:dyDescent="0.2">
      <c r="A20" s="55" t="s">
        <v>432</v>
      </c>
      <c r="B20" s="56" t="s">
        <v>223</v>
      </c>
      <c r="C20" s="77">
        <v>3328</v>
      </c>
      <c r="E20" s="77">
        <v>1000</v>
      </c>
      <c r="G20" s="77">
        <v>758</v>
      </c>
      <c r="I20" s="77">
        <v>4000</v>
      </c>
      <c r="K20" s="77">
        <v>4000</v>
      </c>
      <c r="M20" s="77">
        <v>0</v>
      </c>
      <c r="O20" s="77">
        <f t="shared" si="5"/>
        <v>0</v>
      </c>
      <c r="Q20" s="77">
        <f t="shared" si="6"/>
        <v>0</v>
      </c>
      <c r="S20" s="77">
        <v>4500</v>
      </c>
      <c r="U20" s="77">
        <v>5000</v>
      </c>
      <c r="W20" s="77">
        <v>4500</v>
      </c>
      <c r="Y20" s="77">
        <f t="shared" si="7"/>
        <v>500</v>
      </c>
      <c r="Z20" s="57"/>
      <c r="AA20" s="58">
        <f t="shared" si="8"/>
        <v>0.125</v>
      </c>
      <c r="AB20" s="57"/>
      <c r="AC20" s="77">
        <f t="shared" si="9"/>
        <v>4500</v>
      </c>
      <c r="AD20" s="57"/>
      <c r="AE20" s="58" t="e">
        <f t="shared" si="10"/>
        <v>#DIV/0!</v>
      </c>
      <c r="AF20" s="57"/>
      <c r="AH20" s="57"/>
      <c r="AI20" s="57"/>
      <c r="AJ20" s="57"/>
    </row>
    <row r="21" spans="1:36" x14ac:dyDescent="0.2">
      <c r="A21" s="59" t="s">
        <v>433</v>
      </c>
      <c r="B21" s="60" t="s">
        <v>318</v>
      </c>
      <c r="C21" s="79">
        <v>5027.7299999999996</v>
      </c>
      <c r="D21" s="80"/>
      <c r="E21" s="79">
        <v>4969.99</v>
      </c>
      <c r="F21" s="80"/>
      <c r="G21" s="79">
        <v>5291.82</v>
      </c>
      <c r="H21" s="79"/>
      <c r="I21" s="79">
        <v>5300</v>
      </c>
      <c r="J21" s="79"/>
      <c r="K21" s="79">
        <v>7800</v>
      </c>
      <c r="L21" s="79"/>
      <c r="M21" s="79">
        <v>7727.44</v>
      </c>
      <c r="N21" s="79"/>
      <c r="O21" s="79">
        <f t="shared" si="5"/>
        <v>0</v>
      </c>
      <c r="P21" s="79"/>
      <c r="Q21" s="79">
        <f t="shared" si="6"/>
        <v>7727.44</v>
      </c>
      <c r="R21" s="79"/>
      <c r="S21" s="79">
        <v>6250</v>
      </c>
      <c r="T21" s="79"/>
      <c r="U21" s="79">
        <v>6250</v>
      </c>
      <c r="V21" s="79"/>
      <c r="W21" s="79">
        <v>6250</v>
      </c>
      <c r="X21" s="79"/>
      <c r="Y21" s="79">
        <f t="shared" si="7"/>
        <v>950</v>
      </c>
      <c r="Z21" s="62"/>
      <c r="AA21" s="63">
        <f t="shared" si="8"/>
        <v>0.17924528301886791</v>
      </c>
      <c r="AB21" s="62"/>
      <c r="AC21" s="79">
        <f t="shared" si="9"/>
        <v>-1477.4399999999996</v>
      </c>
      <c r="AD21" s="62"/>
      <c r="AE21" s="63">
        <f t="shared" si="10"/>
        <v>-0.1911939788597517</v>
      </c>
      <c r="AF21" s="57"/>
      <c r="AH21" s="57"/>
      <c r="AI21" s="57"/>
      <c r="AJ21" s="57"/>
    </row>
    <row r="22" spans="1:36" x14ac:dyDescent="0.2">
      <c r="A22" s="55" t="s">
        <v>434</v>
      </c>
      <c r="B22" s="56" t="s">
        <v>633</v>
      </c>
      <c r="C22" s="77">
        <v>0</v>
      </c>
      <c r="E22" s="77">
        <v>0</v>
      </c>
      <c r="G22" s="77">
        <v>0</v>
      </c>
      <c r="I22" s="77">
        <v>4500</v>
      </c>
      <c r="K22" s="77">
        <v>4500</v>
      </c>
      <c r="M22" s="77">
        <v>2883.95</v>
      </c>
      <c r="O22" s="77">
        <f t="shared" si="5"/>
        <v>0</v>
      </c>
      <c r="Q22" s="77">
        <f t="shared" si="6"/>
        <v>2883.95</v>
      </c>
      <c r="S22" s="77">
        <v>3500</v>
      </c>
      <c r="U22" s="77">
        <v>4500</v>
      </c>
      <c r="W22" s="77">
        <v>4500</v>
      </c>
      <c r="Y22" s="77">
        <f t="shared" si="7"/>
        <v>0</v>
      </c>
      <c r="Z22" s="57"/>
      <c r="AA22" s="58">
        <f t="shared" si="8"/>
        <v>0</v>
      </c>
      <c r="AB22" s="57"/>
      <c r="AC22" s="77">
        <f t="shared" si="9"/>
        <v>1616.0500000000002</v>
      </c>
      <c r="AD22" s="57"/>
      <c r="AE22" s="58">
        <f t="shared" si="10"/>
        <v>0.56035992302224391</v>
      </c>
      <c r="AF22" s="57"/>
      <c r="AH22" s="57"/>
      <c r="AI22" s="57"/>
      <c r="AJ22" s="57"/>
    </row>
    <row r="23" spans="1:36" x14ac:dyDescent="0.2">
      <c r="A23" s="59" t="s">
        <v>435</v>
      </c>
      <c r="B23" s="60" t="s">
        <v>325</v>
      </c>
      <c r="C23" s="79">
        <v>36136.26</v>
      </c>
      <c r="D23" s="80"/>
      <c r="E23" s="79">
        <v>8333.15</v>
      </c>
      <c r="F23" s="80"/>
      <c r="G23" s="79">
        <v>50747.14</v>
      </c>
      <c r="H23" s="79"/>
      <c r="I23" s="79">
        <v>43000</v>
      </c>
      <c r="J23" s="79"/>
      <c r="K23" s="79">
        <v>43000</v>
      </c>
      <c r="L23" s="79"/>
      <c r="M23" s="79">
        <v>45115.78</v>
      </c>
      <c r="N23" s="79"/>
      <c r="O23" s="79">
        <f t="shared" si="5"/>
        <v>0</v>
      </c>
      <c r="P23" s="79"/>
      <c r="Q23" s="79">
        <f t="shared" si="6"/>
        <v>45115.78</v>
      </c>
      <c r="R23" s="79"/>
      <c r="S23" s="79">
        <v>35000</v>
      </c>
      <c r="T23" s="79"/>
      <c r="U23" s="79">
        <v>42000</v>
      </c>
      <c r="V23" s="79"/>
      <c r="W23" s="79">
        <v>40000</v>
      </c>
      <c r="X23" s="79"/>
      <c r="Y23" s="79">
        <f t="shared" si="7"/>
        <v>-3000</v>
      </c>
      <c r="Z23" s="62"/>
      <c r="AA23" s="63">
        <f t="shared" si="8"/>
        <v>-6.9767441860465115E-2</v>
      </c>
      <c r="AB23" s="62"/>
      <c r="AC23" s="79">
        <f t="shared" si="9"/>
        <v>-5115.7799999999988</v>
      </c>
      <c r="AD23" s="62"/>
      <c r="AE23" s="63">
        <f t="shared" si="10"/>
        <v>-0.11339225432875147</v>
      </c>
      <c r="AF23" s="57"/>
      <c r="AH23" s="57"/>
      <c r="AI23" s="57"/>
      <c r="AJ23" s="57"/>
    </row>
    <row r="24" spans="1:36" x14ac:dyDescent="0.2">
      <c r="A24" s="55" t="s">
        <v>436</v>
      </c>
      <c r="B24" s="56" t="s">
        <v>327</v>
      </c>
      <c r="C24" s="77">
        <v>21126.44</v>
      </c>
      <c r="E24" s="77">
        <v>9413.0499999999993</v>
      </c>
      <c r="G24" s="77">
        <v>21518.51</v>
      </c>
      <c r="I24" s="77">
        <v>33250</v>
      </c>
      <c r="K24" s="77">
        <v>33250</v>
      </c>
      <c r="M24" s="77">
        <v>28570.29</v>
      </c>
      <c r="O24" s="77">
        <f t="shared" si="5"/>
        <v>0</v>
      </c>
      <c r="Q24" s="77">
        <f t="shared" si="6"/>
        <v>28570.29</v>
      </c>
      <c r="S24" s="77">
        <v>22500</v>
      </c>
      <c r="U24" s="77">
        <v>33000</v>
      </c>
      <c r="W24" s="77">
        <v>33000</v>
      </c>
      <c r="Y24" s="77">
        <f t="shared" si="7"/>
        <v>-250</v>
      </c>
      <c r="Z24" s="57"/>
      <c r="AA24" s="58">
        <f t="shared" si="8"/>
        <v>-7.5187969924812026E-3</v>
      </c>
      <c r="AB24" s="57"/>
      <c r="AC24" s="77">
        <f t="shared" si="9"/>
        <v>4429.7099999999991</v>
      </c>
      <c r="AD24" s="57"/>
      <c r="AE24" s="58">
        <f t="shared" si="10"/>
        <v>0.15504602858423905</v>
      </c>
      <c r="AF24" s="57"/>
      <c r="AG24" s="56" t="s">
        <v>1454</v>
      </c>
      <c r="AH24" s="57"/>
      <c r="AI24" s="57"/>
      <c r="AJ24" s="57"/>
    </row>
    <row r="25" spans="1:36" x14ac:dyDescent="0.2">
      <c r="A25" s="59" t="s">
        <v>437</v>
      </c>
      <c r="B25" s="60" t="s">
        <v>438</v>
      </c>
      <c r="C25" s="79">
        <v>23632.36</v>
      </c>
      <c r="D25" s="80"/>
      <c r="E25" s="79">
        <v>18763.05</v>
      </c>
      <c r="F25" s="80"/>
      <c r="G25" s="79">
        <v>16225.26</v>
      </c>
      <c r="H25" s="79"/>
      <c r="I25" s="79">
        <v>25000</v>
      </c>
      <c r="J25" s="79"/>
      <c r="K25" s="79">
        <v>25000</v>
      </c>
      <c r="L25" s="79"/>
      <c r="M25" s="79">
        <v>21940.63</v>
      </c>
      <c r="N25" s="79"/>
      <c r="O25" s="79">
        <f t="shared" si="5"/>
        <v>0</v>
      </c>
      <c r="P25" s="79"/>
      <c r="Q25" s="79">
        <f t="shared" si="6"/>
        <v>21940.63</v>
      </c>
      <c r="R25" s="79"/>
      <c r="S25" s="79">
        <v>22500</v>
      </c>
      <c r="T25" s="79"/>
      <c r="U25" s="79">
        <v>27000</v>
      </c>
      <c r="V25" s="79"/>
      <c r="W25" s="79">
        <v>27000</v>
      </c>
      <c r="X25" s="79"/>
      <c r="Y25" s="79">
        <f t="shared" si="7"/>
        <v>2000</v>
      </c>
      <c r="Z25" s="62"/>
      <c r="AA25" s="63">
        <f t="shared" si="8"/>
        <v>0.08</v>
      </c>
      <c r="AB25" s="62"/>
      <c r="AC25" s="79">
        <f t="shared" si="9"/>
        <v>5059.369999999999</v>
      </c>
      <c r="AD25" s="62"/>
      <c r="AE25" s="63">
        <f t="shared" si="10"/>
        <v>0.23059365205101215</v>
      </c>
      <c r="AF25" s="57"/>
      <c r="AG25" s="56" t="s">
        <v>976</v>
      </c>
      <c r="AH25" s="57"/>
      <c r="AI25" s="57"/>
      <c r="AJ25" s="57"/>
    </row>
    <row r="26" spans="1:36" x14ac:dyDescent="0.2">
      <c r="A26" s="55" t="s">
        <v>439</v>
      </c>
      <c r="B26" s="56" t="s">
        <v>328</v>
      </c>
      <c r="C26" s="77">
        <v>11971.32</v>
      </c>
      <c r="E26" s="77">
        <v>12175.12</v>
      </c>
      <c r="G26" s="77">
        <v>20782.95</v>
      </c>
      <c r="I26" s="77">
        <v>18000</v>
      </c>
      <c r="K26" s="77">
        <v>18000</v>
      </c>
      <c r="M26" s="77">
        <v>19874.900000000001</v>
      </c>
      <c r="O26" s="77">
        <f t="shared" si="5"/>
        <v>0</v>
      </c>
      <c r="Q26" s="77">
        <f t="shared" si="6"/>
        <v>19874.900000000001</v>
      </c>
      <c r="S26" s="77">
        <v>20000</v>
      </c>
      <c r="U26" s="77">
        <v>22000</v>
      </c>
      <c r="W26" s="77">
        <v>22000</v>
      </c>
      <c r="Y26" s="77">
        <f t="shared" si="7"/>
        <v>4000</v>
      </c>
      <c r="Z26" s="57"/>
      <c r="AA26" s="58">
        <f t="shared" si="8"/>
        <v>0.22222222222222224</v>
      </c>
      <c r="AB26" s="57"/>
      <c r="AC26" s="77">
        <f t="shared" si="9"/>
        <v>2125.0999999999985</v>
      </c>
      <c r="AD26" s="57"/>
      <c r="AE26" s="58">
        <f t="shared" si="10"/>
        <v>0.10692380842167751</v>
      </c>
      <c r="AF26" s="57"/>
      <c r="AG26" s="56" t="s">
        <v>977</v>
      </c>
      <c r="AH26" s="57"/>
      <c r="AI26" s="57"/>
      <c r="AJ26" s="57"/>
    </row>
    <row r="27" spans="1:36" x14ac:dyDescent="0.2">
      <c r="A27" s="59" t="s">
        <v>440</v>
      </c>
      <c r="B27" s="60" t="s">
        <v>224</v>
      </c>
      <c r="C27" s="79">
        <v>8075</v>
      </c>
      <c r="D27" s="80"/>
      <c r="E27" s="79">
        <v>12450</v>
      </c>
      <c r="F27" s="80"/>
      <c r="G27" s="79">
        <v>11144.5</v>
      </c>
      <c r="H27" s="79"/>
      <c r="I27" s="79">
        <v>13500</v>
      </c>
      <c r="J27" s="79"/>
      <c r="K27" s="79">
        <v>13500</v>
      </c>
      <c r="L27" s="79"/>
      <c r="M27" s="79">
        <v>7190</v>
      </c>
      <c r="N27" s="79"/>
      <c r="O27" s="79">
        <f t="shared" si="5"/>
        <v>0</v>
      </c>
      <c r="P27" s="79"/>
      <c r="Q27" s="79">
        <f t="shared" si="6"/>
        <v>7190</v>
      </c>
      <c r="R27" s="79"/>
      <c r="S27" s="79">
        <v>12500</v>
      </c>
      <c r="T27" s="79"/>
      <c r="U27" s="79">
        <v>13500</v>
      </c>
      <c r="V27" s="79"/>
      <c r="W27" s="79">
        <v>13500</v>
      </c>
      <c r="X27" s="79"/>
      <c r="Y27" s="79">
        <f t="shared" si="7"/>
        <v>0</v>
      </c>
      <c r="Z27" s="62"/>
      <c r="AA27" s="63">
        <f t="shared" si="8"/>
        <v>0</v>
      </c>
      <c r="AB27" s="62"/>
      <c r="AC27" s="79">
        <f t="shared" si="9"/>
        <v>6310</v>
      </c>
      <c r="AD27" s="62"/>
      <c r="AE27" s="63">
        <f t="shared" si="10"/>
        <v>0.87760778859527122</v>
      </c>
      <c r="AF27" s="57"/>
      <c r="AG27" s="56" t="s">
        <v>978</v>
      </c>
      <c r="AH27" s="57"/>
      <c r="AI27" s="57"/>
      <c r="AJ27" s="57"/>
    </row>
    <row r="28" spans="1:36" x14ac:dyDescent="0.2">
      <c r="A28" s="64" t="s">
        <v>49</v>
      </c>
      <c r="C28" s="81">
        <f>SUM(C18:C27)</f>
        <v>138702.79999999999</v>
      </c>
      <c r="E28" s="81">
        <f>SUM(E18:E27)</f>
        <v>85358.04</v>
      </c>
      <c r="G28" s="81">
        <f>SUM(G18:G27)</f>
        <v>141597.01999999999</v>
      </c>
      <c r="I28" s="81">
        <f>SUM(I18:I27)</f>
        <v>196300</v>
      </c>
      <c r="K28" s="81">
        <f>SUM(K18:K27)</f>
        <v>198800</v>
      </c>
      <c r="M28" s="81">
        <f>SUM(M18:M27)</f>
        <v>173161.06</v>
      </c>
      <c r="O28" s="81">
        <f>SUM(O18:O27)</f>
        <v>0</v>
      </c>
      <c r="Q28" s="81">
        <f>SUM(Q18:Q27)</f>
        <v>173161.06</v>
      </c>
      <c r="S28" s="81">
        <f>SUM(S18:S27)</f>
        <v>146250</v>
      </c>
      <c r="U28" s="81">
        <f>SUM(U18:U27)</f>
        <v>174250</v>
      </c>
      <c r="W28" s="81">
        <f>SUM(W18:W27)</f>
        <v>172750</v>
      </c>
      <c r="Y28" s="81">
        <f>SUM(Y18:Y27)</f>
        <v>-23550</v>
      </c>
      <c r="Z28" s="57"/>
      <c r="AA28" s="65">
        <f t="shared" si="8"/>
        <v>-0.11996943453897096</v>
      </c>
      <c r="AB28" s="57"/>
      <c r="AC28" s="81">
        <f>SUM(AC18:AC27)</f>
        <v>-411.06000000000131</v>
      </c>
      <c r="AD28" s="57"/>
      <c r="AE28" s="65">
        <f t="shared" si="10"/>
        <v>-2.3738593422793861E-3</v>
      </c>
      <c r="AF28" s="57"/>
      <c r="AH28" s="57"/>
      <c r="AI28" s="57"/>
      <c r="AJ28" s="57"/>
    </row>
    <row r="29" spans="1:36" x14ac:dyDescent="0.2">
      <c r="Z29" s="57"/>
      <c r="AB29" s="57"/>
      <c r="AD29" s="57"/>
      <c r="AF29" s="57"/>
      <c r="AH29" s="57"/>
      <c r="AI29" s="57"/>
      <c r="AJ29" s="57"/>
    </row>
    <row r="30" spans="1:36" x14ac:dyDescent="0.2">
      <c r="A30" s="54" t="s">
        <v>65</v>
      </c>
      <c r="Z30" s="57"/>
      <c r="AB30" s="57"/>
      <c r="AD30" s="57"/>
      <c r="AF30" s="57"/>
      <c r="AH30" s="57"/>
      <c r="AI30" s="57"/>
      <c r="AJ30" s="57"/>
    </row>
    <row r="31" spans="1:36" x14ac:dyDescent="0.2">
      <c r="A31" s="55" t="s">
        <v>442</v>
      </c>
      <c r="B31" s="56" t="s">
        <v>443</v>
      </c>
      <c r="C31" s="77">
        <v>10638.59</v>
      </c>
      <c r="E31" s="77">
        <v>12991.1</v>
      </c>
      <c r="G31" s="77">
        <v>17152.36</v>
      </c>
      <c r="I31" s="77">
        <v>18000</v>
      </c>
      <c r="K31" s="77">
        <v>18000</v>
      </c>
      <c r="M31" s="77">
        <v>9941.65</v>
      </c>
      <c r="O31" s="77">
        <f>PRODUCT(M31,0/12)</f>
        <v>0</v>
      </c>
      <c r="Q31" s="77">
        <f>SUM(M31,O31)</f>
        <v>9941.65</v>
      </c>
      <c r="S31" s="77">
        <v>15000</v>
      </c>
      <c r="U31" s="77">
        <v>18000</v>
      </c>
      <c r="W31" s="77">
        <v>18000</v>
      </c>
      <c r="Y31" s="77">
        <f>SUM(W31,-I31)</f>
        <v>0</v>
      </c>
      <c r="Z31" s="57"/>
      <c r="AA31" s="58">
        <f>IF(W31=0,"N/A",PRODUCT(Y31,1/I31))</f>
        <v>0</v>
      </c>
      <c r="AB31" s="57"/>
      <c r="AC31" s="77">
        <f>SUM(W31,-Q31)</f>
        <v>8058.35</v>
      </c>
      <c r="AD31" s="57"/>
      <c r="AE31" s="58">
        <f>IF(W31=0,"N/A",PRODUCT(AC31,1/Q31))</f>
        <v>0.81056464470183531</v>
      </c>
      <c r="AF31" s="57"/>
      <c r="AH31" s="57"/>
      <c r="AI31" s="57"/>
      <c r="AJ31" s="57"/>
    </row>
    <row r="32" spans="1:36" x14ac:dyDescent="0.2">
      <c r="A32" s="59" t="s">
        <v>444</v>
      </c>
      <c r="B32" s="60" t="s">
        <v>445</v>
      </c>
      <c r="C32" s="79">
        <v>25577.77</v>
      </c>
      <c r="D32" s="80"/>
      <c r="E32" s="79">
        <v>24333.96</v>
      </c>
      <c r="F32" s="80"/>
      <c r="G32" s="79">
        <v>47252.78</v>
      </c>
      <c r="H32" s="79"/>
      <c r="I32" s="79">
        <v>30000</v>
      </c>
      <c r="J32" s="79"/>
      <c r="K32" s="79">
        <v>30000</v>
      </c>
      <c r="L32" s="79"/>
      <c r="M32" s="79">
        <v>28440.37</v>
      </c>
      <c r="N32" s="79"/>
      <c r="O32" s="79">
        <f>PRODUCT(M32,0/12)</f>
        <v>0</v>
      </c>
      <c r="P32" s="79"/>
      <c r="Q32" s="79">
        <f>SUM(M32,O32)</f>
        <v>28440.37</v>
      </c>
      <c r="R32" s="79"/>
      <c r="S32" s="79">
        <v>30000</v>
      </c>
      <c r="T32" s="79"/>
      <c r="U32" s="79">
        <v>35000</v>
      </c>
      <c r="V32" s="79"/>
      <c r="W32" s="79">
        <v>35000</v>
      </c>
      <c r="X32" s="79"/>
      <c r="Y32" s="79">
        <f>SUM(W32,-I32)</f>
        <v>5000</v>
      </c>
      <c r="Z32" s="62"/>
      <c r="AA32" s="63">
        <f>IF(W32=0,"N/A",PRODUCT(Y32,1/I32))</f>
        <v>0.16666666666666669</v>
      </c>
      <c r="AB32" s="62"/>
      <c r="AC32" s="79">
        <f>SUM(W32,-Q32)</f>
        <v>6559.630000000001</v>
      </c>
      <c r="AD32" s="62"/>
      <c r="AE32" s="63">
        <f>IF(W32=0,"N/A",PRODUCT(AC32,1/Q32))</f>
        <v>0.23064503028617425</v>
      </c>
      <c r="AF32" s="57"/>
      <c r="AG32" s="56" t="s">
        <v>979</v>
      </c>
      <c r="AH32" s="57"/>
      <c r="AI32" s="57"/>
      <c r="AJ32" s="57"/>
    </row>
    <row r="33" spans="1:36" x14ac:dyDescent="0.2">
      <c r="A33" s="64" t="s">
        <v>66</v>
      </c>
      <c r="C33" s="81">
        <f>SUM(C31:C32)</f>
        <v>36216.36</v>
      </c>
      <c r="E33" s="81">
        <f>SUM(E31:E32)</f>
        <v>37325.06</v>
      </c>
      <c r="G33" s="81">
        <f>SUM(G31:G32)</f>
        <v>64405.14</v>
      </c>
      <c r="I33" s="81">
        <f>SUM(I31:I32)</f>
        <v>48000</v>
      </c>
      <c r="K33" s="81">
        <f>SUM(K31:K32)</f>
        <v>48000</v>
      </c>
      <c r="M33" s="81">
        <f>SUM(M31:M32)</f>
        <v>38382.019999999997</v>
      </c>
      <c r="O33" s="81">
        <f>SUM(O31:O32)</f>
        <v>0</v>
      </c>
      <c r="Q33" s="81">
        <f>SUM(Q31:Q32)</f>
        <v>38382.019999999997</v>
      </c>
      <c r="S33" s="81">
        <f>SUM(S31:S32)</f>
        <v>45000</v>
      </c>
      <c r="U33" s="81">
        <f>SUM(U31:U32)</f>
        <v>53000</v>
      </c>
      <c r="W33" s="81">
        <f>SUM(W31:W32)</f>
        <v>53000</v>
      </c>
      <c r="Y33" s="81">
        <f>SUM(Y31:Y32)</f>
        <v>5000</v>
      </c>
      <c r="Z33" s="57"/>
      <c r="AA33" s="65">
        <f>IF(W33=0,"N/A",PRODUCT(Y33,1/I33))</f>
        <v>0.10416666666666666</v>
      </c>
      <c r="AB33" s="57"/>
      <c r="AC33" s="81">
        <f>SUM(AC31:AC32)</f>
        <v>14617.980000000001</v>
      </c>
      <c r="AD33" s="57"/>
      <c r="AE33" s="65">
        <f>IF(W33=0,"N/A",PRODUCT(AC33,1/Q33))</f>
        <v>0.38085488986770372</v>
      </c>
      <c r="AF33" s="57"/>
      <c r="AH33" s="57"/>
      <c r="AI33" s="57"/>
      <c r="AJ33" s="57"/>
    </row>
    <row r="34" spans="1:36" x14ac:dyDescent="0.2">
      <c r="Z34" s="57"/>
      <c r="AB34" s="57"/>
      <c r="AD34" s="57"/>
      <c r="AF34" s="57"/>
      <c r="AH34" s="57"/>
      <c r="AI34" s="57"/>
      <c r="AJ34" s="57"/>
    </row>
    <row r="35" spans="1:36" x14ac:dyDescent="0.2">
      <c r="A35" s="54" t="s">
        <v>69</v>
      </c>
      <c r="Z35" s="57"/>
      <c r="AB35" s="57"/>
      <c r="AD35" s="57"/>
      <c r="AF35" s="57"/>
      <c r="AH35" s="57"/>
      <c r="AI35" s="57"/>
      <c r="AJ35" s="57"/>
    </row>
    <row r="36" spans="1:36" x14ac:dyDescent="0.2">
      <c r="A36" s="59" t="s">
        <v>446</v>
      </c>
      <c r="B36" s="60" t="s">
        <v>347</v>
      </c>
      <c r="C36" s="79">
        <v>11976.67</v>
      </c>
      <c r="D36" s="80"/>
      <c r="E36" s="79">
        <v>12776.16</v>
      </c>
      <c r="F36" s="80"/>
      <c r="G36" s="79">
        <v>13044.58</v>
      </c>
      <c r="H36" s="79"/>
      <c r="I36" s="79">
        <v>15000</v>
      </c>
      <c r="J36" s="79"/>
      <c r="K36" s="79">
        <v>15000</v>
      </c>
      <c r="L36" s="79"/>
      <c r="M36" s="79">
        <v>13181.05</v>
      </c>
      <c r="N36" s="79"/>
      <c r="O36" s="79">
        <f t="shared" ref="O36:O42" si="11">PRODUCT(M36,0/12)</f>
        <v>0</v>
      </c>
      <c r="P36" s="79"/>
      <c r="Q36" s="79">
        <f t="shared" ref="Q36:Q42" si="12">SUM(M36,O36)</f>
        <v>13181.05</v>
      </c>
      <c r="R36" s="79"/>
      <c r="S36" s="79">
        <v>15000</v>
      </c>
      <c r="T36" s="79"/>
      <c r="U36" s="79">
        <v>15000</v>
      </c>
      <c r="V36" s="79"/>
      <c r="W36" s="79">
        <v>15000</v>
      </c>
      <c r="X36" s="79"/>
      <c r="Y36" s="79">
        <f t="shared" ref="Y36:Y42" si="13">SUM(W36,-I36)</f>
        <v>0</v>
      </c>
      <c r="Z36" s="62"/>
      <c r="AA36" s="63">
        <f t="shared" ref="AA36:AA43" si="14">IF(W36=0,"N/A",PRODUCT(Y36,1/I36))</f>
        <v>0</v>
      </c>
      <c r="AB36" s="62"/>
      <c r="AC36" s="79">
        <f t="shared" ref="AC36:AC42" si="15">SUM(W36,-Q36)</f>
        <v>1818.9500000000007</v>
      </c>
      <c r="AD36" s="62"/>
      <c r="AE36" s="63">
        <f t="shared" ref="AE36:AE43" si="16">IF(W36=0,"N/A",PRODUCT(AC36,1/Q36))</f>
        <v>0.13799735225949381</v>
      </c>
      <c r="AF36" s="57"/>
      <c r="AH36" s="57"/>
      <c r="AI36" s="57"/>
      <c r="AJ36" s="57"/>
    </row>
    <row r="37" spans="1:36" x14ac:dyDescent="0.2">
      <c r="A37" s="55" t="s">
        <v>447</v>
      </c>
      <c r="B37" s="56" t="s">
        <v>228</v>
      </c>
      <c r="C37" s="77">
        <v>557.19000000000005</v>
      </c>
      <c r="E37" s="77">
        <v>16.75</v>
      </c>
      <c r="G37" s="77">
        <v>142.03</v>
      </c>
      <c r="I37" s="77">
        <v>250</v>
      </c>
      <c r="K37" s="77">
        <v>250</v>
      </c>
      <c r="M37" s="77">
        <v>239.36</v>
      </c>
      <c r="O37" s="77">
        <f t="shared" si="11"/>
        <v>0</v>
      </c>
      <c r="Q37" s="77">
        <f t="shared" si="12"/>
        <v>239.36</v>
      </c>
      <c r="S37" s="77">
        <v>250</v>
      </c>
      <c r="U37" s="77">
        <v>250</v>
      </c>
      <c r="W37" s="77">
        <v>250</v>
      </c>
      <c r="Y37" s="77">
        <f t="shared" si="13"/>
        <v>0</v>
      </c>
      <c r="Z37" s="57"/>
      <c r="AA37" s="58">
        <f t="shared" si="14"/>
        <v>0</v>
      </c>
      <c r="AB37" s="57"/>
      <c r="AC37" s="77">
        <f t="shared" si="15"/>
        <v>10.639999999999986</v>
      </c>
      <c r="AD37" s="57"/>
      <c r="AE37" s="58">
        <f t="shared" si="16"/>
        <v>4.4451871657753945E-2</v>
      </c>
      <c r="AF37" s="57"/>
      <c r="AH37" s="57"/>
      <c r="AI37" s="57"/>
      <c r="AJ37" s="57"/>
    </row>
    <row r="38" spans="1:36" x14ac:dyDescent="0.2">
      <c r="A38" s="59" t="s">
        <v>448</v>
      </c>
      <c r="B38" s="60" t="s">
        <v>351</v>
      </c>
      <c r="C38" s="79">
        <v>917.4</v>
      </c>
      <c r="D38" s="80"/>
      <c r="E38" s="79">
        <v>375.92</v>
      </c>
      <c r="F38" s="80"/>
      <c r="G38" s="79">
        <v>1623.96</v>
      </c>
      <c r="H38" s="79"/>
      <c r="I38" s="79">
        <v>1500</v>
      </c>
      <c r="J38" s="79"/>
      <c r="K38" s="79">
        <v>1500</v>
      </c>
      <c r="L38" s="79"/>
      <c r="M38" s="79">
        <v>531.17999999999995</v>
      </c>
      <c r="N38" s="79"/>
      <c r="O38" s="79">
        <f t="shared" si="11"/>
        <v>0</v>
      </c>
      <c r="P38" s="79"/>
      <c r="Q38" s="79">
        <f t="shared" si="12"/>
        <v>531.17999999999995</v>
      </c>
      <c r="R38" s="79"/>
      <c r="S38" s="79">
        <v>1500</v>
      </c>
      <c r="T38" s="79"/>
      <c r="U38" s="79">
        <v>1500</v>
      </c>
      <c r="V38" s="79"/>
      <c r="W38" s="79">
        <v>1500</v>
      </c>
      <c r="X38" s="79"/>
      <c r="Y38" s="79">
        <f t="shared" si="13"/>
        <v>0</v>
      </c>
      <c r="Z38" s="62"/>
      <c r="AA38" s="63">
        <f t="shared" si="14"/>
        <v>0</v>
      </c>
      <c r="AB38" s="62"/>
      <c r="AC38" s="79">
        <f t="shared" si="15"/>
        <v>968.82</v>
      </c>
      <c r="AD38" s="62"/>
      <c r="AE38" s="63">
        <f t="shared" si="16"/>
        <v>1.8239015023155996</v>
      </c>
      <c r="AF38" s="57"/>
      <c r="AH38" s="57"/>
      <c r="AI38" s="57"/>
      <c r="AJ38" s="57"/>
    </row>
    <row r="39" spans="1:36" x14ac:dyDescent="0.2">
      <c r="A39" s="55" t="s">
        <v>449</v>
      </c>
      <c r="B39" s="56" t="s">
        <v>450</v>
      </c>
      <c r="C39" s="77">
        <v>2045.35</v>
      </c>
      <c r="E39" s="77">
        <v>3020.6</v>
      </c>
      <c r="G39" s="77">
        <v>3148.25</v>
      </c>
      <c r="I39" s="77">
        <v>5500</v>
      </c>
      <c r="K39" s="77">
        <v>5500</v>
      </c>
      <c r="M39" s="77">
        <v>4922.51</v>
      </c>
      <c r="O39" s="77">
        <f t="shared" si="11"/>
        <v>0</v>
      </c>
      <c r="Q39" s="77">
        <f t="shared" si="12"/>
        <v>4922.51</v>
      </c>
      <c r="S39" s="77">
        <v>4000</v>
      </c>
      <c r="U39" s="77">
        <v>6000</v>
      </c>
      <c r="W39" s="77">
        <v>6000</v>
      </c>
      <c r="Y39" s="77">
        <f t="shared" si="13"/>
        <v>500</v>
      </c>
      <c r="Z39" s="57"/>
      <c r="AA39" s="58">
        <f t="shared" si="14"/>
        <v>9.0909090909090898E-2</v>
      </c>
      <c r="AB39" s="57"/>
      <c r="AC39" s="77">
        <f t="shared" si="15"/>
        <v>1077.4899999999998</v>
      </c>
      <c r="AD39" s="57"/>
      <c r="AE39" s="58">
        <f t="shared" si="16"/>
        <v>0.21889036284334612</v>
      </c>
      <c r="AF39" s="57"/>
      <c r="AG39" s="56" t="s">
        <v>980</v>
      </c>
      <c r="AH39" s="57"/>
      <c r="AI39" s="57"/>
      <c r="AJ39" s="57"/>
    </row>
    <row r="40" spans="1:36" x14ac:dyDescent="0.2">
      <c r="A40" s="59" t="s">
        <v>451</v>
      </c>
      <c r="B40" s="60" t="s">
        <v>452</v>
      </c>
      <c r="C40" s="79">
        <v>184.5</v>
      </c>
      <c r="D40" s="80"/>
      <c r="E40" s="79">
        <v>0</v>
      </c>
      <c r="F40" s="80"/>
      <c r="G40" s="79">
        <v>320.08999999999997</v>
      </c>
      <c r="H40" s="79"/>
      <c r="I40" s="79">
        <v>750</v>
      </c>
      <c r="J40" s="79"/>
      <c r="K40" s="79">
        <v>750</v>
      </c>
      <c r="L40" s="79"/>
      <c r="M40" s="79">
        <v>0</v>
      </c>
      <c r="N40" s="79"/>
      <c r="O40" s="79">
        <f t="shared" si="11"/>
        <v>0</v>
      </c>
      <c r="P40" s="79"/>
      <c r="Q40" s="79">
        <f t="shared" si="12"/>
        <v>0</v>
      </c>
      <c r="R40" s="79"/>
      <c r="S40" s="79">
        <v>500</v>
      </c>
      <c r="T40" s="79"/>
      <c r="U40" s="79">
        <v>750</v>
      </c>
      <c r="V40" s="79"/>
      <c r="W40" s="79">
        <v>750</v>
      </c>
      <c r="X40" s="79"/>
      <c r="Y40" s="79">
        <f t="shared" si="13"/>
        <v>0</v>
      </c>
      <c r="Z40" s="62"/>
      <c r="AA40" s="63">
        <f t="shared" si="14"/>
        <v>0</v>
      </c>
      <c r="AB40" s="62"/>
      <c r="AC40" s="79">
        <f t="shared" si="15"/>
        <v>750</v>
      </c>
      <c r="AD40" s="62"/>
      <c r="AE40" s="63" t="e">
        <f t="shared" si="16"/>
        <v>#DIV/0!</v>
      </c>
      <c r="AF40" s="57"/>
      <c r="AH40" s="57"/>
      <c r="AI40" s="57"/>
      <c r="AJ40" s="57"/>
    </row>
    <row r="41" spans="1:36" x14ac:dyDescent="0.2">
      <c r="A41" s="55" t="s">
        <v>453</v>
      </c>
      <c r="B41" s="56" t="s">
        <v>454</v>
      </c>
      <c r="C41" s="77">
        <v>4894.8599999999997</v>
      </c>
      <c r="E41" s="77">
        <v>5586.42</v>
      </c>
      <c r="G41" s="77">
        <v>5105.8100000000004</v>
      </c>
      <c r="I41" s="77">
        <v>0</v>
      </c>
      <c r="K41" s="77">
        <v>0</v>
      </c>
      <c r="M41" s="77">
        <v>0</v>
      </c>
      <c r="O41" s="77">
        <f t="shared" si="11"/>
        <v>0</v>
      </c>
      <c r="Q41" s="77">
        <f t="shared" si="12"/>
        <v>0</v>
      </c>
      <c r="S41" s="77">
        <v>0</v>
      </c>
      <c r="U41" s="77">
        <v>0</v>
      </c>
      <c r="W41" s="77">
        <v>0</v>
      </c>
      <c r="Y41" s="77">
        <f t="shared" si="13"/>
        <v>0</v>
      </c>
      <c r="Z41" s="57"/>
      <c r="AA41" s="58" t="str">
        <f t="shared" si="14"/>
        <v>N/A</v>
      </c>
      <c r="AB41" s="57"/>
      <c r="AC41" s="77">
        <f t="shared" si="15"/>
        <v>0</v>
      </c>
      <c r="AD41" s="57"/>
      <c r="AE41" s="58" t="str">
        <f t="shared" si="16"/>
        <v>N/A</v>
      </c>
      <c r="AF41" s="57"/>
      <c r="AH41" s="57"/>
      <c r="AI41" s="57"/>
      <c r="AJ41" s="57"/>
    </row>
    <row r="42" spans="1:36" x14ac:dyDescent="0.2">
      <c r="A42" s="59" t="s">
        <v>455</v>
      </c>
      <c r="B42" s="60" t="s">
        <v>217</v>
      </c>
      <c r="C42" s="79">
        <v>11087.17</v>
      </c>
      <c r="D42" s="80"/>
      <c r="E42" s="79">
        <v>8420.67</v>
      </c>
      <c r="F42" s="80"/>
      <c r="G42" s="79">
        <v>14873.2</v>
      </c>
      <c r="H42" s="79"/>
      <c r="I42" s="79">
        <v>15500</v>
      </c>
      <c r="J42" s="79"/>
      <c r="K42" s="79">
        <v>15500</v>
      </c>
      <c r="L42" s="79"/>
      <c r="M42" s="79">
        <v>9099.17</v>
      </c>
      <c r="N42" s="79"/>
      <c r="O42" s="79">
        <f t="shared" si="11"/>
        <v>0</v>
      </c>
      <c r="P42" s="79"/>
      <c r="Q42" s="79">
        <f t="shared" si="12"/>
        <v>9099.17</v>
      </c>
      <c r="R42" s="79"/>
      <c r="S42" s="79">
        <v>12500</v>
      </c>
      <c r="T42" s="79"/>
      <c r="U42" s="79">
        <v>18000</v>
      </c>
      <c r="V42" s="79"/>
      <c r="W42" s="79">
        <v>18000</v>
      </c>
      <c r="X42" s="79"/>
      <c r="Y42" s="79">
        <f t="shared" si="13"/>
        <v>2500</v>
      </c>
      <c r="Z42" s="62"/>
      <c r="AA42" s="63">
        <f t="shared" si="14"/>
        <v>0.16129032258064516</v>
      </c>
      <c r="AB42" s="62"/>
      <c r="AC42" s="79">
        <f t="shared" si="15"/>
        <v>8900.83</v>
      </c>
      <c r="AD42" s="62"/>
      <c r="AE42" s="63">
        <f t="shared" si="16"/>
        <v>0.97820240747232989</v>
      </c>
      <c r="AF42" s="57"/>
      <c r="AH42" s="57"/>
      <c r="AI42" s="57"/>
      <c r="AJ42" s="57"/>
    </row>
    <row r="43" spans="1:36" x14ac:dyDescent="0.2">
      <c r="A43" s="64" t="s">
        <v>70</v>
      </c>
      <c r="C43" s="81">
        <f>SUM(C36:C42)</f>
        <v>31663.14</v>
      </c>
      <c r="E43" s="81">
        <f>SUM(E36:E42)</f>
        <v>30196.519999999997</v>
      </c>
      <c r="G43" s="81">
        <f>SUM(G36:G42)</f>
        <v>38257.919999999998</v>
      </c>
      <c r="I43" s="81">
        <f>SUM(I36:I42)</f>
        <v>38500</v>
      </c>
      <c r="K43" s="81">
        <f>SUM(K36:K42)</f>
        <v>38500</v>
      </c>
      <c r="M43" s="81">
        <f>SUM(M36:M42)</f>
        <v>27973.269999999997</v>
      </c>
      <c r="O43" s="81">
        <f>SUM(O36:O42)</f>
        <v>0</v>
      </c>
      <c r="Q43" s="81">
        <f>SUM(Q36:Q42)</f>
        <v>27973.269999999997</v>
      </c>
      <c r="S43" s="81">
        <f>SUM(S36:S42)</f>
        <v>33750</v>
      </c>
      <c r="U43" s="81">
        <f>SUM(U36:U42)</f>
        <v>41500</v>
      </c>
      <c r="W43" s="81">
        <f>SUM(W36:W42)</f>
        <v>41500</v>
      </c>
      <c r="Y43" s="81">
        <f>SUM(Y36:Y42)</f>
        <v>3000</v>
      </c>
      <c r="Z43" s="57"/>
      <c r="AA43" s="65">
        <f t="shared" si="14"/>
        <v>7.792207792207792E-2</v>
      </c>
      <c r="AB43" s="57"/>
      <c r="AC43" s="81">
        <f>SUM(AC36:AC42)</f>
        <v>13526.73</v>
      </c>
      <c r="AD43" s="57"/>
      <c r="AE43" s="65">
        <f t="shared" si="16"/>
        <v>0.48355912626589603</v>
      </c>
      <c r="AF43" s="57"/>
      <c r="AH43" s="57"/>
      <c r="AI43" s="57"/>
      <c r="AJ43" s="57"/>
    </row>
    <row r="44" spans="1:36" x14ac:dyDescent="0.2">
      <c r="A44" s="55"/>
      <c r="Z44" s="57"/>
      <c r="AB44" s="57"/>
      <c r="AD44" s="57"/>
      <c r="AF44" s="57"/>
      <c r="AH44" s="57"/>
      <c r="AI44" s="57"/>
      <c r="AJ44" s="57"/>
    </row>
    <row r="45" spans="1:36" x14ac:dyDescent="0.2">
      <c r="A45" s="54" t="s">
        <v>388</v>
      </c>
      <c r="Z45" s="57"/>
      <c r="AB45" s="57"/>
      <c r="AD45" s="57"/>
      <c r="AF45" s="57"/>
      <c r="AH45" s="57"/>
      <c r="AI45" s="57"/>
      <c r="AJ45" s="57"/>
    </row>
    <row r="46" spans="1:36" x14ac:dyDescent="0.2">
      <c r="A46" s="59" t="s">
        <v>456</v>
      </c>
      <c r="B46" s="60" t="s">
        <v>240</v>
      </c>
      <c r="C46" s="79">
        <v>137500</v>
      </c>
      <c r="D46" s="80"/>
      <c r="E46" s="79">
        <v>0</v>
      </c>
      <c r="F46" s="80"/>
      <c r="G46" s="79">
        <v>0</v>
      </c>
      <c r="H46" s="79"/>
      <c r="I46" s="79">
        <v>0</v>
      </c>
      <c r="J46" s="79"/>
      <c r="K46" s="79">
        <v>0</v>
      </c>
      <c r="L46" s="79"/>
      <c r="M46" s="79">
        <v>0</v>
      </c>
      <c r="N46" s="79"/>
      <c r="O46" s="79">
        <f>PRODUCT(M46,0/12)</f>
        <v>0</v>
      </c>
      <c r="P46" s="79"/>
      <c r="Q46" s="79">
        <f>SUM(M46,O46)</f>
        <v>0</v>
      </c>
      <c r="R46" s="79"/>
      <c r="S46" s="79">
        <v>38000</v>
      </c>
      <c r="T46" s="79"/>
      <c r="U46" s="79">
        <v>38000</v>
      </c>
      <c r="V46" s="79"/>
      <c r="W46" s="79">
        <v>38000</v>
      </c>
      <c r="X46" s="79"/>
      <c r="Y46" s="79">
        <f>SUM(W46,-I46)</f>
        <v>38000</v>
      </c>
      <c r="Z46" s="62"/>
      <c r="AA46" s="63" t="e">
        <f>IF(W46=0,"N/A",PRODUCT(Y46,1/I46))</f>
        <v>#DIV/0!</v>
      </c>
      <c r="AB46" s="62"/>
      <c r="AC46" s="79">
        <f>SUM(W46,-Q46)</f>
        <v>38000</v>
      </c>
      <c r="AD46" s="62"/>
      <c r="AE46" s="63" t="e">
        <f>IF(W46=0,"N/A",PRODUCT(AC46,1/Q46))</f>
        <v>#DIV/0!</v>
      </c>
      <c r="AF46" s="57"/>
      <c r="AG46" s="56" t="s">
        <v>953</v>
      </c>
      <c r="AH46" s="57"/>
      <c r="AI46" s="57"/>
      <c r="AJ46" s="57"/>
    </row>
    <row r="47" spans="1:36" x14ac:dyDescent="0.2">
      <c r="A47" s="55" t="s">
        <v>457</v>
      </c>
      <c r="B47" s="56" t="s">
        <v>241</v>
      </c>
      <c r="C47" s="77">
        <v>0</v>
      </c>
      <c r="E47" s="77">
        <v>0</v>
      </c>
      <c r="G47" s="77">
        <v>132963.46</v>
      </c>
      <c r="I47" s="77">
        <v>85000</v>
      </c>
      <c r="K47" s="77">
        <v>405000</v>
      </c>
      <c r="M47" s="77">
        <v>404075</v>
      </c>
      <c r="O47" s="77">
        <v>0</v>
      </c>
      <c r="Q47" s="77">
        <f>SUM(M47,O47)</f>
        <v>404075</v>
      </c>
      <c r="S47" s="77">
        <v>0</v>
      </c>
      <c r="U47" s="77">
        <v>0</v>
      </c>
      <c r="W47" s="77">
        <v>0</v>
      </c>
      <c r="Y47" s="77">
        <f>SUM(W47,-I47)</f>
        <v>-85000</v>
      </c>
      <c r="Z47" s="57"/>
      <c r="AA47" s="58" t="str">
        <f>IF(W47=0,"N/A",PRODUCT(Y47,1/I47))</f>
        <v>N/A</v>
      </c>
      <c r="AB47" s="57"/>
      <c r="AC47" s="77">
        <f>SUM(W47,-Q47)</f>
        <v>-404075</v>
      </c>
      <c r="AD47" s="57"/>
      <c r="AE47" s="58" t="str">
        <f>IF(W47=0,"N/A",PRODUCT(AC47,1/Q47))</f>
        <v>N/A</v>
      </c>
      <c r="AF47" s="57"/>
      <c r="AG47" s="56" t="s">
        <v>981</v>
      </c>
      <c r="AH47" s="57"/>
      <c r="AI47" s="57"/>
      <c r="AJ47" s="57"/>
    </row>
    <row r="48" spans="1:36" x14ac:dyDescent="0.2">
      <c r="A48" s="59" t="s">
        <v>458</v>
      </c>
      <c r="B48" s="60" t="s">
        <v>243</v>
      </c>
      <c r="C48" s="79">
        <v>15000</v>
      </c>
      <c r="D48" s="80"/>
      <c r="E48" s="79">
        <v>0</v>
      </c>
      <c r="F48" s="80"/>
      <c r="G48" s="79">
        <v>0</v>
      </c>
      <c r="H48" s="79"/>
      <c r="I48" s="79">
        <v>0</v>
      </c>
      <c r="J48" s="79"/>
      <c r="K48" s="79">
        <v>0</v>
      </c>
      <c r="L48" s="79"/>
      <c r="M48" s="79">
        <v>0</v>
      </c>
      <c r="N48" s="79"/>
      <c r="O48" s="79">
        <f>PRODUCT(M48,0/12)</f>
        <v>0</v>
      </c>
      <c r="P48" s="79"/>
      <c r="Q48" s="79">
        <f>SUM(M48,O48)</f>
        <v>0</v>
      </c>
      <c r="R48" s="79"/>
      <c r="S48" s="79">
        <v>0</v>
      </c>
      <c r="T48" s="79"/>
      <c r="U48" s="79">
        <v>0</v>
      </c>
      <c r="V48" s="79"/>
      <c r="W48" s="79">
        <v>100000</v>
      </c>
      <c r="X48" s="79"/>
      <c r="Y48" s="79">
        <f>SUM(W48,-I48)</f>
        <v>100000</v>
      </c>
      <c r="Z48" s="62"/>
      <c r="AA48" s="63" t="e">
        <f>IF(W48=0,"N/A",PRODUCT(Y48,1/I48))</f>
        <v>#DIV/0!</v>
      </c>
      <c r="AB48" s="62"/>
      <c r="AC48" s="79">
        <f>SUM(W48,-Q48)</f>
        <v>100000</v>
      </c>
      <c r="AD48" s="62"/>
      <c r="AE48" s="63" t="e">
        <f>IF(W48=0,"N/A",PRODUCT(AC48,1/Q48))</f>
        <v>#DIV/0!</v>
      </c>
      <c r="AF48" s="57"/>
      <c r="AG48" s="56" t="s">
        <v>982</v>
      </c>
      <c r="AH48" s="57"/>
      <c r="AI48" s="57"/>
      <c r="AJ48" s="57"/>
    </row>
    <row r="49" spans="1:36" x14ac:dyDescent="0.2">
      <c r="A49" s="64" t="s">
        <v>459</v>
      </c>
      <c r="C49" s="81">
        <f>SUM(C46:C48)</f>
        <v>152500</v>
      </c>
      <c r="E49" s="81">
        <f>SUM(E46:E48)</f>
        <v>0</v>
      </c>
      <c r="F49" s="77"/>
      <c r="G49" s="81">
        <f>SUM(G46:G48)</f>
        <v>132963.46</v>
      </c>
      <c r="I49" s="81">
        <f>SUM(I46:I48)</f>
        <v>85000</v>
      </c>
      <c r="K49" s="81">
        <f>SUM(K46:K48)</f>
        <v>405000</v>
      </c>
      <c r="M49" s="81">
        <f>SUM(M46:M48)</f>
        <v>404075</v>
      </c>
      <c r="O49" s="81">
        <f>SUM(O46:O48)</f>
        <v>0</v>
      </c>
      <c r="Q49" s="81">
        <f>SUM(Q46:Q48)</f>
        <v>404075</v>
      </c>
      <c r="S49" s="81">
        <f>SUM(S46:S48)</f>
        <v>38000</v>
      </c>
      <c r="U49" s="81">
        <f>SUM(U46:U48)</f>
        <v>38000</v>
      </c>
      <c r="W49" s="81">
        <f>SUM(W46:W48)</f>
        <v>138000</v>
      </c>
      <c r="Y49" s="81">
        <f>SUM(Y46:Y48)</f>
        <v>53000</v>
      </c>
      <c r="Z49" s="57"/>
      <c r="AA49" s="65">
        <f>IF(W49=0,"N/A",PRODUCT(Y49,1/I49))</f>
        <v>0.62352941176470589</v>
      </c>
      <c r="AB49" s="57"/>
      <c r="AC49" s="81">
        <f>SUM(AC46:AC48)</f>
        <v>-266075</v>
      </c>
      <c r="AD49" s="57"/>
      <c r="AE49" s="65">
        <f>IF(W49=0,"N/A",PRODUCT(AC49,1/Q49))</f>
        <v>-0.65847924271484259</v>
      </c>
      <c r="AF49" s="57"/>
      <c r="AH49" s="57"/>
      <c r="AI49" s="57"/>
      <c r="AJ49" s="57"/>
    </row>
    <row r="50" spans="1:36" x14ac:dyDescent="0.2">
      <c r="Z50" s="57"/>
      <c r="AB50" s="57"/>
      <c r="AD50" s="57"/>
      <c r="AF50" s="57"/>
      <c r="AH50" s="57"/>
      <c r="AI50" s="57"/>
      <c r="AJ50" s="57"/>
    </row>
    <row r="51" spans="1:36" ht="13.5" thickBot="1" x14ac:dyDescent="0.25">
      <c r="A51" s="67" t="s">
        <v>462</v>
      </c>
      <c r="C51" s="83">
        <f>SUM(C15,C28,C33,C43,C49)</f>
        <v>2664247.1199999996</v>
      </c>
      <c r="E51" s="83">
        <f>SUM(E15,E28,E33,E43,E49)</f>
        <v>2505575.3200000003</v>
      </c>
      <c r="G51" s="83">
        <f>SUM(G15,G28,G33,G43,G49)</f>
        <v>2810083.3700000006</v>
      </c>
      <c r="I51" s="83">
        <f>SUM(I15,I28,I33,I43,I49)</f>
        <v>3020100</v>
      </c>
      <c r="K51" s="83">
        <f>SUM(K15,K28,K33,K43,K49)</f>
        <v>3340100</v>
      </c>
      <c r="M51" s="82">
        <f>SUM(M15,M28,M33,M43,M49)</f>
        <v>3324482.04</v>
      </c>
      <c r="O51" s="82">
        <f>SUM(O15,O28,O33,O43,O49)</f>
        <v>0</v>
      </c>
      <c r="Q51" s="83">
        <f>SUM(Q15,Q28,Q33,Q43,Q49)</f>
        <v>3324482.04</v>
      </c>
      <c r="S51" s="82">
        <f>SUM(S15,S28,S33,S43,S49)</f>
        <v>2958000</v>
      </c>
      <c r="U51" s="82">
        <f>SUM(U15,U28,U33,U43,U49)</f>
        <v>3044250</v>
      </c>
      <c r="W51" s="83">
        <f>SUM(W15,W28,W33,W43,W49)</f>
        <v>3157750</v>
      </c>
      <c r="Y51" s="82">
        <f>SUM(Y15,Y28,Y33,Y43,Y49)</f>
        <v>137650</v>
      </c>
      <c r="Z51" s="57"/>
      <c r="AA51" s="125">
        <f>IF(W51=0,"N/A",PRODUCT(Y51,1/I51))</f>
        <v>4.5577960994669049E-2</v>
      </c>
      <c r="AB51" s="57"/>
      <c r="AC51" s="82">
        <f>SUM(AC15,AC28,AC33,AC43,AC49)</f>
        <v>-166732.03999999992</v>
      </c>
      <c r="AD51" s="57"/>
      <c r="AE51" s="125">
        <f>IF(W51=0,"N/A",PRODUCT(AC51,1/Q51))</f>
        <v>-5.0152787109055921E-2</v>
      </c>
      <c r="AF51" s="57"/>
      <c r="AH51" s="57"/>
      <c r="AI51" s="57"/>
      <c r="AJ51" s="57"/>
    </row>
    <row r="52" spans="1:36" ht="13.5" thickTop="1" x14ac:dyDescent="0.2">
      <c r="Z52" s="57"/>
      <c r="AB52" s="57"/>
      <c r="AD52" s="57"/>
      <c r="AF52" s="57"/>
      <c r="AH52" s="57"/>
      <c r="AI52" s="57"/>
      <c r="AJ52" s="57"/>
    </row>
    <row r="53" spans="1:36" x14ac:dyDescent="0.2">
      <c r="Z53" s="57"/>
      <c r="AB53" s="57"/>
      <c r="AD53" s="57"/>
      <c r="AF53" s="57"/>
      <c r="AH53" s="57"/>
      <c r="AI53" s="57"/>
      <c r="AJ53" s="57"/>
    </row>
    <row r="54" spans="1:36" x14ac:dyDescent="0.2">
      <c r="Z54" s="57"/>
      <c r="AB54" s="57"/>
      <c r="AD54" s="57"/>
      <c r="AF54" s="57"/>
      <c r="AH54" s="57"/>
      <c r="AI54" s="57"/>
      <c r="AJ54" s="57"/>
    </row>
    <row r="55" spans="1:36" x14ac:dyDescent="0.2">
      <c r="Z55" s="57"/>
      <c r="AB55" s="57"/>
      <c r="AD55" s="57"/>
      <c r="AF55" s="57"/>
      <c r="AH55" s="57"/>
      <c r="AI55" s="57"/>
      <c r="AJ55" s="57"/>
    </row>
    <row r="56" spans="1:36" x14ac:dyDescent="0.2">
      <c r="Z56" s="57"/>
      <c r="AB56" s="57"/>
      <c r="AD56" s="57"/>
      <c r="AF56" s="57"/>
      <c r="AH56" s="57"/>
      <c r="AI56" s="57"/>
      <c r="AJ56" s="57"/>
    </row>
    <row r="57" spans="1:36" x14ac:dyDescent="0.2">
      <c r="Z57" s="57"/>
      <c r="AB57" s="57"/>
      <c r="AD57" s="57"/>
      <c r="AF57" s="57"/>
      <c r="AH57" s="57"/>
      <c r="AI57" s="57"/>
      <c r="AJ57" s="57"/>
    </row>
    <row r="58" spans="1:36" x14ac:dyDescent="0.2">
      <c r="Z58" s="57"/>
      <c r="AB58" s="57"/>
      <c r="AD58" s="57"/>
      <c r="AF58" s="57"/>
      <c r="AH58" s="57"/>
      <c r="AI58" s="57"/>
      <c r="AJ58" s="57"/>
    </row>
    <row r="59" spans="1:36" x14ac:dyDescent="0.2">
      <c r="Z59" s="57"/>
      <c r="AB59" s="57"/>
      <c r="AD59" s="57"/>
      <c r="AF59" s="57"/>
      <c r="AH59" s="57"/>
      <c r="AI59" s="57"/>
      <c r="AJ59" s="57"/>
    </row>
    <row r="60" spans="1:36" x14ac:dyDescent="0.2">
      <c r="Z60" s="57"/>
      <c r="AB60" s="57"/>
      <c r="AD60" s="57"/>
      <c r="AF60" s="57"/>
      <c r="AH60" s="57"/>
      <c r="AI60" s="57"/>
      <c r="AJ60" s="57"/>
    </row>
    <row r="61" spans="1:36" x14ac:dyDescent="0.2">
      <c r="Z61" s="57"/>
      <c r="AB61" s="57"/>
      <c r="AD61" s="57"/>
      <c r="AF61" s="57"/>
      <c r="AH61" s="57"/>
      <c r="AI61" s="57"/>
      <c r="AJ61" s="57"/>
    </row>
    <row r="62" spans="1:36" x14ac:dyDescent="0.2">
      <c r="Z62" s="57"/>
      <c r="AB62" s="57"/>
      <c r="AD62" s="57"/>
      <c r="AF62" s="57"/>
      <c r="AH62" s="57"/>
      <c r="AI62" s="57"/>
      <c r="AJ62" s="57"/>
    </row>
    <row r="63" spans="1:36" x14ac:dyDescent="0.2">
      <c r="Z63" s="57"/>
      <c r="AB63" s="57"/>
      <c r="AD63" s="57"/>
      <c r="AF63" s="57"/>
      <c r="AH63" s="57"/>
      <c r="AI63" s="57"/>
      <c r="AJ63" s="57"/>
    </row>
    <row r="64" spans="1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  <row r="79" spans="26:36" x14ac:dyDescent="0.2">
      <c r="Z79" s="57"/>
      <c r="AB79" s="57"/>
      <c r="AD79" s="57"/>
      <c r="AF79" s="57"/>
      <c r="AH79" s="57"/>
      <c r="AI79" s="57"/>
      <c r="AJ79" s="57"/>
    </row>
    <row r="80" spans="26:36" x14ac:dyDescent="0.2">
      <c r="Z80" s="57"/>
      <c r="AB80" s="57"/>
      <c r="AD80" s="57"/>
      <c r="AF80" s="57"/>
      <c r="AH80" s="57"/>
      <c r="AI80" s="57"/>
      <c r="AJ80" s="57"/>
    </row>
    <row r="81" spans="26:36" x14ac:dyDescent="0.2">
      <c r="Z81" s="57"/>
      <c r="AB81" s="57"/>
      <c r="AD81" s="57"/>
      <c r="AF81" s="57"/>
      <c r="AH81" s="57"/>
      <c r="AI81" s="57"/>
      <c r="AJ81" s="57"/>
    </row>
    <row r="82" spans="26:36" x14ac:dyDescent="0.2">
      <c r="Z82" s="57"/>
      <c r="AB82" s="57"/>
      <c r="AD82" s="57"/>
      <c r="AF82" s="57"/>
      <c r="AH82" s="57"/>
      <c r="AI82" s="57"/>
      <c r="AJ82" s="57"/>
    </row>
    <row r="83" spans="26:36" x14ac:dyDescent="0.2">
      <c r="Z83" s="57"/>
      <c r="AB83" s="57"/>
      <c r="AD83" s="57"/>
      <c r="AF83" s="57"/>
      <c r="AH83" s="57"/>
      <c r="AI83" s="57"/>
      <c r="AJ83" s="57"/>
    </row>
    <row r="84" spans="26:36" x14ac:dyDescent="0.2">
      <c r="Z84" s="57"/>
      <c r="AB84" s="57"/>
      <c r="AD84" s="57"/>
      <c r="AF84" s="57"/>
      <c r="AH84" s="57"/>
      <c r="AI84" s="57"/>
      <c r="AJ84" s="57"/>
    </row>
    <row r="85" spans="26:36" x14ac:dyDescent="0.2">
      <c r="Z85" s="57"/>
      <c r="AB85" s="57"/>
      <c r="AD85" s="57"/>
      <c r="AF85" s="57"/>
      <c r="AH85" s="57"/>
      <c r="AI85" s="57"/>
      <c r="AJ85" s="57"/>
    </row>
    <row r="86" spans="26:36" x14ac:dyDescent="0.2">
      <c r="Z86" s="57"/>
      <c r="AB86" s="57"/>
      <c r="AD86" s="57"/>
      <c r="AF86" s="57"/>
      <c r="AH86" s="57"/>
      <c r="AI86" s="57"/>
      <c r="AJ86" s="57"/>
    </row>
    <row r="87" spans="26:36" x14ac:dyDescent="0.2">
      <c r="Z87" s="57"/>
      <c r="AB87" s="57"/>
      <c r="AD87" s="57"/>
      <c r="AF87" s="57"/>
      <c r="AH87" s="57"/>
      <c r="AI87" s="57"/>
      <c r="AJ87" s="57"/>
    </row>
    <row r="88" spans="26:36" x14ac:dyDescent="0.2">
      <c r="Z88" s="57"/>
      <c r="AB88" s="57"/>
      <c r="AD88" s="57"/>
      <c r="AF88" s="57"/>
      <c r="AH88" s="57"/>
      <c r="AI88" s="57"/>
      <c r="AJ88" s="57"/>
    </row>
    <row r="89" spans="26:36" x14ac:dyDescent="0.2">
      <c r="Z89" s="57"/>
      <c r="AB89" s="57"/>
      <c r="AD89" s="57"/>
      <c r="AF89" s="57"/>
      <c r="AH89" s="57"/>
      <c r="AI89" s="57"/>
      <c r="AJ89" s="57"/>
    </row>
    <row r="90" spans="26:36" x14ac:dyDescent="0.2">
      <c r="Z90" s="57"/>
      <c r="AB90" s="57"/>
      <c r="AD90" s="57"/>
      <c r="AF90" s="57"/>
      <c r="AH90" s="57"/>
      <c r="AI90" s="57"/>
      <c r="AJ90" s="57"/>
    </row>
    <row r="91" spans="26:36" x14ac:dyDescent="0.2">
      <c r="Z91" s="57"/>
      <c r="AB91" s="57"/>
      <c r="AD91" s="57"/>
      <c r="AF91" s="57"/>
      <c r="AH91" s="57"/>
      <c r="AI91" s="57"/>
      <c r="AJ91" s="57"/>
    </row>
    <row r="92" spans="26:36" x14ac:dyDescent="0.2">
      <c r="Z92" s="57"/>
      <c r="AB92" s="57"/>
      <c r="AD92" s="57"/>
      <c r="AF92" s="57"/>
      <c r="AH92" s="57"/>
      <c r="AI92" s="57"/>
      <c r="AJ92" s="57"/>
    </row>
    <row r="93" spans="26:36" x14ac:dyDescent="0.2">
      <c r="Z93" s="57"/>
      <c r="AB93" s="57"/>
      <c r="AD93" s="57"/>
      <c r="AF93" s="57"/>
      <c r="AH93" s="57"/>
      <c r="AI93" s="57"/>
      <c r="AJ93" s="57"/>
    </row>
    <row r="94" spans="26:36" x14ac:dyDescent="0.2">
      <c r="Z94" s="57"/>
      <c r="AB94" s="57"/>
      <c r="AD94" s="57"/>
      <c r="AF94" s="57"/>
      <c r="AH94" s="57"/>
      <c r="AI94" s="57"/>
      <c r="AJ94" s="57"/>
    </row>
    <row r="95" spans="26:36" x14ac:dyDescent="0.2">
      <c r="Z95" s="57"/>
      <c r="AB95" s="57"/>
      <c r="AD95" s="57"/>
      <c r="AF95" s="57"/>
      <c r="AH95" s="57"/>
      <c r="AI95" s="57"/>
      <c r="AJ95" s="57"/>
    </row>
    <row r="96" spans="26:36" x14ac:dyDescent="0.2">
      <c r="Z96" s="57"/>
      <c r="AB96" s="57"/>
      <c r="AD96" s="57"/>
      <c r="AF96" s="57"/>
      <c r="AH96" s="57"/>
      <c r="AI96" s="57"/>
      <c r="AJ96" s="57"/>
    </row>
    <row r="97" spans="26:36" x14ac:dyDescent="0.2">
      <c r="Z97" s="57"/>
      <c r="AB97" s="57"/>
      <c r="AD97" s="57"/>
      <c r="AF97" s="57"/>
      <c r="AH97" s="57"/>
      <c r="AI97" s="57"/>
      <c r="AJ97" s="57"/>
    </row>
    <row r="98" spans="26:36" x14ac:dyDescent="0.2">
      <c r="Z98" s="57"/>
      <c r="AB98" s="57"/>
      <c r="AD98" s="57"/>
      <c r="AF98" s="57"/>
      <c r="AH98" s="57"/>
      <c r="AI98" s="57"/>
      <c r="AJ98" s="57"/>
    </row>
    <row r="99" spans="26:36" x14ac:dyDescent="0.2">
      <c r="Z99" s="57"/>
      <c r="AB99" s="57"/>
      <c r="AD99" s="57"/>
      <c r="AF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H113" s="57"/>
      <c r="AI113" s="57"/>
      <c r="AJ113" s="57"/>
    </row>
    <row r="114" spans="26:36" x14ac:dyDescent="0.2">
      <c r="Z114" s="57"/>
      <c r="AB114" s="57"/>
      <c r="AD114" s="57"/>
      <c r="AF114" s="57"/>
      <c r="AH114" s="57"/>
      <c r="AI114" s="57"/>
      <c r="AJ114" s="57"/>
    </row>
    <row r="115" spans="26:36" x14ac:dyDescent="0.2">
      <c r="Z115" s="57"/>
      <c r="AB115" s="57"/>
      <c r="AD115" s="57"/>
      <c r="AF115" s="57"/>
      <c r="AH115" s="57"/>
      <c r="AI115" s="57"/>
      <c r="AJ115" s="57"/>
    </row>
    <row r="116" spans="26:36" x14ac:dyDescent="0.2">
      <c r="Z116" s="57"/>
      <c r="AB116" s="57"/>
      <c r="AD116" s="57"/>
      <c r="AF116" s="57"/>
      <c r="AH116" s="57"/>
      <c r="AI116" s="57"/>
      <c r="AJ116" s="57"/>
    </row>
    <row r="117" spans="26:36" x14ac:dyDescent="0.2">
      <c r="Z117" s="57"/>
      <c r="AB117" s="57"/>
      <c r="AD117" s="57"/>
      <c r="AF117" s="57"/>
      <c r="AH117" s="57"/>
      <c r="AI117" s="57"/>
      <c r="AJ117" s="57"/>
    </row>
    <row r="118" spans="26:36" x14ac:dyDescent="0.2">
      <c r="Z118" s="57"/>
      <c r="AB118" s="57"/>
      <c r="AD118" s="57"/>
      <c r="AF118" s="57"/>
      <c r="AH118" s="57"/>
      <c r="AI118" s="57"/>
      <c r="AJ118" s="57"/>
    </row>
    <row r="119" spans="26:36" x14ac:dyDescent="0.2">
      <c r="Z119" s="57"/>
      <c r="AB119" s="57"/>
      <c r="AD119" s="57"/>
      <c r="AF119" s="57"/>
      <c r="AH119" s="57"/>
      <c r="AI119" s="57"/>
      <c r="AJ119" s="57"/>
    </row>
  </sheetData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FBC6-2475-4E4D-BB75-8E9D8499E107}">
  <sheetPr>
    <tabColor rgb="FF92D050"/>
    <pageSetUpPr fitToPage="1"/>
  </sheetPr>
  <dimension ref="A1:AJ117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568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H5" s="52"/>
      <c r="AI5" s="52"/>
      <c r="AJ5" s="52"/>
    </row>
    <row r="6" spans="1:36" x14ac:dyDescent="0.2">
      <c r="A6" s="59" t="s">
        <v>486</v>
      </c>
      <c r="B6" s="60" t="s">
        <v>219</v>
      </c>
      <c r="C6" s="79">
        <v>1465832.52</v>
      </c>
      <c r="D6" s="80"/>
      <c r="E6" s="79">
        <v>1545622.02</v>
      </c>
      <c r="F6" s="80"/>
      <c r="G6" s="79">
        <v>1614684.29</v>
      </c>
      <c r="H6" s="79"/>
      <c r="I6" s="79">
        <v>1944600</v>
      </c>
      <c r="J6" s="79"/>
      <c r="K6" s="79">
        <v>1944600</v>
      </c>
      <c r="L6" s="79"/>
      <c r="M6" s="79">
        <v>1945634.16</v>
      </c>
      <c r="N6" s="79"/>
      <c r="O6" s="79">
        <f>PRODUCT(M6,0/12)</f>
        <v>0</v>
      </c>
      <c r="P6" s="79"/>
      <c r="Q6" s="79">
        <f t="shared" ref="Q6:Q12" si="0">SUM(M6,O6)</f>
        <v>1945634.16</v>
      </c>
      <c r="R6" s="79"/>
      <c r="S6" s="79">
        <v>1950000</v>
      </c>
      <c r="T6" s="79"/>
      <c r="U6" s="79">
        <v>1975000</v>
      </c>
      <c r="V6" s="79"/>
      <c r="W6" s="79">
        <v>1950000</v>
      </c>
      <c r="X6" s="79"/>
      <c r="Y6" s="79">
        <f t="shared" ref="Y6:Y12" si="1">SUM(W6,-I6)</f>
        <v>5400</v>
      </c>
      <c r="Z6" s="62"/>
      <c r="AA6" s="63">
        <f>IF(W6=0,"N/A",PRODUCT(Y6,1/I6))</f>
        <v>2.776920703486578E-3</v>
      </c>
      <c r="AB6" s="62"/>
      <c r="AC6" s="79">
        <f t="shared" ref="AC6:AC12" si="2">SUM(W6,-Q6)</f>
        <v>4365.8400000000838</v>
      </c>
      <c r="AD6" s="62"/>
      <c r="AE6" s="63">
        <f>IF(W6=0,"N/A",PRODUCT(AC6,1/Q6))</f>
        <v>2.243916194399097E-3</v>
      </c>
      <c r="AF6" s="57"/>
      <c r="AH6" s="57"/>
      <c r="AI6" s="57"/>
      <c r="AJ6" s="57"/>
    </row>
    <row r="7" spans="1:36" x14ac:dyDescent="0.2">
      <c r="A7" s="55" t="s">
        <v>487</v>
      </c>
      <c r="B7" s="56" t="s">
        <v>220</v>
      </c>
      <c r="C7" s="77">
        <v>19915.43</v>
      </c>
      <c r="E7" s="77">
        <v>27154.06</v>
      </c>
      <c r="G7" s="77">
        <v>17478.34</v>
      </c>
      <c r="I7" s="77">
        <v>18500</v>
      </c>
      <c r="K7" s="77">
        <v>18500</v>
      </c>
      <c r="M7" s="77">
        <v>17346.22</v>
      </c>
      <c r="O7" s="77">
        <f>PRODUCT(M7,0/12)</f>
        <v>0</v>
      </c>
      <c r="Q7" s="77">
        <f t="shared" si="0"/>
        <v>17346.22</v>
      </c>
      <c r="S7" s="77">
        <v>20000</v>
      </c>
      <c r="U7" s="77">
        <v>40000</v>
      </c>
      <c r="W7" s="77">
        <v>40000</v>
      </c>
      <c r="Y7" s="77">
        <f t="shared" si="1"/>
        <v>21500</v>
      </c>
      <c r="Z7" s="57"/>
      <c r="AA7" s="58">
        <f t="shared" ref="AA7:AA13" si="3">IF(W7=0,"N/A",PRODUCT(Y7,1/I7))</f>
        <v>1.1621621621621621</v>
      </c>
      <c r="AB7" s="57"/>
      <c r="AC7" s="77">
        <f t="shared" si="2"/>
        <v>22653.78</v>
      </c>
      <c r="AD7" s="57"/>
      <c r="AE7" s="58">
        <f t="shared" ref="AE7:AE13" si="4">IF(W7=0,"N/A",PRODUCT(AC7,1/Q7))</f>
        <v>1.3059779018137667</v>
      </c>
      <c r="AF7" s="57"/>
      <c r="AG7" s="56" t="s">
        <v>966</v>
      </c>
      <c r="AH7" s="57"/>
      <c r="AI7" s="57"/>
      <c r="AJ7" s="57"/>
    </row>
    <row r="8" spans="1:36" x14ac:dyDescent="0.2">
      <c r="A8" s="59" t="s">
        <v>488</v>
      </c>
      <c r="B8" s="60" t="s">
        <v>286</v>
      </c>
      <c r="C8" s="79">
        <v>108101.91</v>
      </c>
      <c r="D8" s="80"/>
      <c r="E8" s="79">
        <v>121740.19</v>
      </c>
      <c r="F8" s="80"/>
      <c r="G8" s="79">
        <v>121687.64</v>
      </c>
      <c r="H8" s="79"/>
      <c r="I8" s="79">
        <v>150200</v>
      </c>
      <c r="J8" s="79"/>
      <c r="K8" s="79">
        <v>150200</v>
      </c>
      <c r="L8" s="79"/>
      <c r="M8" s="79">
        <v>144701.5</v>
      </c>
      <c r="N8" s="79"/>
      <c r="O8" s="79">
        <f>PRODUCT(M8,0/12)</f>
        <v>0</v>
      </c>
      <c r="P8" s="79"/>
      <c r="Q8" s="79">
        <f t="shared" si="0"/>
        <v>144701.5</v>
      </c>
      <c r="R8" s="79"/>
      <c r="S8" s="79">
        <v>150000</v>
      </c>
      <c r="T8" s="79"/>
      <c r="U8" s="79">
        <v>152000</v>
      </c>
      <c r="V8" s="79"/>
      <c r="W8" s="79">
        <v>150000</v>
      </c>
      <c r="X8" s="79"/>
      <c r="Y8" s="79">
        <f t="shared" si="1"/>
        <v>-200</v>
      </c>
      <c r="Z8" s="62"/>
      <c r="AA8" s="63">
        <f t="shared" si="3"/>
        <v>-1.3315579227696404E-3</v>
      </c>
      <c r="AB8" s="62"/>
      <c r="AC8" s="79">
        <f t="shared" si="2"/>
        <v>5298.5</v>
      </c>
      <c r="AD8" s="62"/>
      <c r="AE8" s="63">
        <f t="shared" si="4"/>
        <v>3.6616759328686986E-2</v>
      </c>
      <c r="AF8" s="57"/>
      <c r="AH8" s="57"/>
      <c r="AI8" s="57"/>
      <c r="AJ8" s="57"/>
    </row>
    <row r="9" spans="1:36" x14ac:dyDescent="0.2">
      <c r="A9" s="55" t="s">
        <v>520</v>
      </c>
      <c r="B9" s="56" t="s">
        <v>221</v>
      </c>
      <c r="C9" s="77">
        <v>237406</v>
      </c>
      <c r="E9" s="77">
        <v>261327.3</v>
      </c>
      <c r="G9" s="77">
        <v>257399.69</v>
      </c>
      <c r="I9" s="77">
        <v>262500</v>
      </c>
      <c r="K9" s="77">
        <v>262500</v>
      </c>
      <c r="M9" s="77">
        <v>288860</v>
      </c>
      <c r="O9" s="77">
        <f>PRODUCT(M9,0/12)</f>
        <v>0</v>
      </c>
      <c r="Q9" s="77">
        <f t="shared" si="0"/>
        <v>288860</v>
      </c>
      <c r="S9" s="77">
        <v>325000</v>
      </c>
      <c r="U9" s="77">
        <v>288750</v>
      </c>
      <c r="W9" s="77">
        <v>325000</v>
      </c>
      <c r="Y9" s="77">
        <f t="shared" si="1"/>
        <v>62500</v>
      </c>
      <c r="Z9" s="57"/>
      <c r="AA9" s="58">
        <f t="shared" si="3"/>
        <v>0.23809523809523808</v>
      </c>
      <c r="AB9" s="57"/>
      <c r="AC9" s="77">
        <f t="shared" si="2"/>
        <v>36140</v>
      </c>
      <c r="AD9" s="57"/>
      <c r="AE9" s="58">
        <f t="shared" si="4"/>
        <v>0.12511251125112513</v>
      </c>
      <c r="AF9" s="57"/>
      <c r="AH9" s="57"/>
      <c r="AI9" s="57"/>
      <c r="AJ9" s="57"/>
    </row>
    <row r="10" spans="1:36" x14ac:dyDescent="0.2">
      <c r="A10" s="59" t="s">
        <v>521</v>
      </c>
      <c r="B10" s="60" t="s">
        <v>400</v>
      </c>
      <c r="C10" s="79">
        <v>83515.520000000004</v>
      </c>
      <c r="D10" s="80"/>
      <c r="E10" s="79">
        <v>90651.88</v>
      </c>
      <c r="F10" s="80"/>
      <c r="G10" s="79">
        <v>103466.42</v>
      </c>
      <c r="H10" s="79"/>
      <c r="I10" s="79">
        <v>28600</v>
      </c>
      <c r="J10" s="79"/>
      <c r="K10" s="79">
        <v>28600</v>
      </c>
      <c r="L10" s="79"/>
      <c r="M10" s="79">
        <v>23345.88</v>
      </c>
      <c r="N10" s="79"/>
      <c r="O10" s="79">
        <v>0</v>
      </c>
      <c r="P10" s="79"/>
      <c r="Q10" s="79">
        <f t="shared" si="0"/>
        <v>23345.88</v>
      </c>
      <c r="R10" s="79"/>
      <c r="S10" s="79">
        <v>0</v>
      </c>
      <c r="T10" s="79"/>
      <c r="U10" s="79">
        <v>0</v>
      </c>
      <c r="V10" s="79"/>
      <c r="W10" s="79">
        <v>0</v>
      </c>
      <c r="X10" s="79"/>
      <c r="Y10" s="79">
        <f t="shared" si="1"/>
        <v>-28600</v>
      </c>
      <c r="Z10" s="62"/>
      <c r="AA10" s="63" t="str">
        <f t="shared" si="3"/>
        <v>N/A</v>
      </c>
      <c r="AB10" s="62"/>
      <c r="AC10" s="79">
        <f t="shared" si="2"/>
        <v>-23345.88</v>
      </c>
      <c r="AD10" s="62"/>
      <c r="AE10" s="63" t="str">
        <f t="shared" si="4"/>
        <v>N/A</v>
      </c>
      <c r="AF10" s="57"/>
      <c r="AH10" s="57"/>
      <c r="AI10" s="57"/>
      <c r="AJ10" s="57"/>
    </row>
    <row r="11" spans="1:36" x14ac:dyDescent="0.2">
      <c r="A11" s="55" t="s">
        <v>522</v>
      </c>
      <c r="B11" s="56" t="s">
        <v>401</v>
      </c>
      <c r="C11" s="77">
        <v>64459.8</v>
      </c>
      <c r="E11" s="77">
        <v>69132.160000000003</v>
      </c>
      <c r="G11" s="77">
        <v>75476.929999999993</v>
      </c>
      <c r="I11" s="77">
        <v>23400</v>
      </c>
      <c r="K11" s="77">
        <v>23400</v>
      </c>
      <c r="M11" s="77">
        <v>15241.17</v>
      </c>
      <c r="O11" s="77">
        <v>0</v>
      </c>
      <c r="Q11" s="77">
        <f t="shared" si="0"/>
        <v>15241.17</v>
      </c>
      <c r="S11" s="77">
        <v>0</v>
      </c>
      <c r="U11" s="77">
        <v>0</v>
      </c>
      <c r="W11" s="77">
        <v>0</v>
      </c>
      <c r="Y11" s="77">
        <f t="shared" si="1"/>
        <v>-23400</v>
      </c>
      <c r="Z11" s="57"/>
      <c r="AA11" s="58" t="str">
        <f t="shared" si="3"/>
        <v>N/A</v>
      </c>
      <c r="AB11" s="57"/>
      <c r="AC11" s="77">
        <f t="shared" si="2"/>
        <v>-15241.17</v>
      </c>
      <c r="AD11" s="57"/>
      <c r="AE11" s="58" t="str">
        <f t="shared" si="4"/>
        <v>N/A</v>
      </c>
      <c r="AF11" s="57"/>
      <c r="AH11" s="57"/>
      <c r="AI11" s="57"/>
      <c r="AJ11" s="57"/>
    </row>
    <row r="12" spans="1:36" x14ac:dyDescent="0.2">
      <c r="A12" s="59" t="s">
        <v>523</v>
      </c>
      <c r="B12" s="60" t="s">
        <v>46</v>
      </c>
      <c r="C12" s="79">
        <v>0</v>
      </c>
      <c r="D12" s="80"/>
      <c r="E12" s="79">
        <v>0</v>
      </c>
      <c r="F12" s="80"/>
      <c r="G12" s="79">
        <v>0</v>
      </c>
      <c r="H12" s="79"/>
      <c r="I12" s="79">
        <v>124300</v>
      </c>
      <c r="J12" s="79"/>
      <c r="K12" s="79">
        <v>124300</v>
      </c>
      <c r="L12" s="79"/>
      <c r="M12" s="79">
        <v>127398.58</v>
      </c>
      <c r="N12" s="79"/>
      <c r="O12" s="79">
        <f>PRODUCT(M12,0/9)</f>
        <v>0</v>
      </c>
      <c r="P12" s="79"/>
      <c r="Q12" s="79">
        <f t="shared" si="0"/>
        <v>127398.58</v>
      </c>
      <c r="R12" s="79"/>
      <c r="S12" s="79">
        <v>180000</v>
      </c>
      <c r="T12" s="79"/>
      <c r="U12" s="79">
        <v>168250</v>
      </c>
      <c r="V12" s="79"/>
      <c r="W12" s="79">
        <v>180000</v>
      </c>
      <c r="X12" s="79"/>
      <c r="Y12" s="79">
        <f t="shared" si="1"/>
        <v>55700</v>
      </c>
      <c r="Z12" s="62"/>
      <c r="AA12" s="63">
        <f t="shared" si="3"/>
        <v>0.44810941271118265</v>
      </c>
      <c r="AB12" s="62"/>
      <c r="AC12" s="79">
        <f t="shared" si="2"/>
        <v>52601.42</v>
      </c>
      <c r="AD12" s="62"/>
      <c r="AE12" s="63">
        <f t="shared" si="4"/>
        <v>0.41288858949605245</v>
      </c>
      <c r="AF12" s="57"/>
      <c r="AH12" s="57"/>
      <c r="AI12" s="57"/>
      <c r="AJ12" s="57"/>
    </row>
    <row r="13" spans="1:36" x14ac:dyDescent="0.2">
      <c r="A13" s="64" t="s">
        <v>47</v>
      </c>
      <c r="C13" s="81">
        <f>SUM(C6:C12)</f>
        <v>1979231.18</v>
      </c>
      <c r="E13" s="81">
        <f>SUM(E6:E12)</f>
        <v>2115627.6100000003</v>
      </c>
      <c r="G13" s="81">
        <f>SUM(G6:G12)</f>
        <v>2190193.31</v>
      </c>
      <c r="I13" s="81">
        <f>SUM(I6:I12)</f>
        <v>2552100</v>
      </c>
      <c r="K13" s="81">
        <f>SUM(K6:K12)</f>
        <v>2552100</v>
      </c>
      <c r="M13" s="81">
        <f>SUM(M6:M12)</f>
        <v>2562527.5099999998</v>
      </c>
      <c r="O13" s="81">
        <f>SUM(O6:O12)</f>
        <v>0</v>
      </c>
      <c r="Q13" s="81">
        <f>SUM(Q6:Q12)</f>
        <v>2562527.5099999998</v>
      </c>
      <c r="S13" s="81">
        <f>SUM(S6:S12)</f>
        <v>2625000</v>
      </c>
      <c r="U13" s="81">
        <f>SUM(U6:U12)</f>
        <v>2624000</v>
      </c>
      <c r="W13" s="81">
        <f>SUM(W6:W12)</f>
        <v>2645000</v>
      </c>
      <c r="Y13" s="81">
        <f>SUM(Y6:Y12)</f>
        <v>92900</v>
      </c>
      <c r="Z13" s="57"/>
      <c r="AA13" s="65">
        <f t="shared" si="3"/>
        <v>3.6401394929665765E-2</v>
      </c>
      <c r="AB13" s="57"/>
      <c r="AC13" s="81">
        <f>SUM(AC6:AC12)</f>
        <v>82472.490000000078</v>
      </c>
      <c r="AD13" s="57"/>
      <c r="AE13" s="65">
        <f t="shared" si="4"/>
        <v>3.2184040826160769E-2</v>
      </c>
      <c r="AF13" s="57"/>
      <c r="AH13" s="57"/>
      <c r="AI13" s="57"/>
      <c r="AJ13" s="57"/>
    </row>
    <row r="14" spans="1:36" x14ac:dyDescent="0.2">
      <c r="Z14" s="57"/>
      <c r="AB14" s="57"/>
      <c r="AD14" s="57"/>
      <c r="AF14" s="57"/>
      <c r="AH14" s="57"/>
      <c r="AI14" s="57"/>
      <c r="AJ14" s="57"/>
    </row>
    <row r="15" spans="1:36" x14ac:dyDescent="0.2">
      <c r="A15" s="54" t="s">
        <v>48</v>
      </c>
      <c r="Z15" s="57"/>
      <c r="AB15" s="57"/>
      <c r="AD15" s="57"/>
      <c r="AF15" s="57"/>
      <c r="AH15" s="57"/>
      <c r="AI15" s="57"/>
      <c r="AJ15" s="57"/>
    </row>
    <row r="16" spans="1:36" x14ac:dyDescent="0.2">
      <c r="A16" s="59" t="s">
        <v>524</v>
      </c>
      <c r="B16" s="60" t="s">
        <v>223</v>
      </c>
      <c r="C16" s="79">
        <v>15331.75</v>
      </c>
      <c r="D16" s="80"/>
      <c r="E16" s="79">
        <v>20752</v>
      </c>
      <c r="F16" s="80"/>
      <c r="G16" s="79">
        <v>22160.75</v>
      </c>
      <c r="H16" s="79"/>
      <c r="I16" s="79">
        <v>38000</v>
      </c>
      <c r="J16" s="79"/>
      <c r="K16" s="79">
        <v>38000</v>
      </c>
      <c r="L16" s="79"/>
      <c r="M16" s="79">
        <v>40211.85</v>
      </c>
      <c r="N16" s="79"/>
      <c r="O16" s="79">
        <f t="shared" ref="O16:O24" si="5">PRODUCT(M16,0/12)</f>
        <v>0</v>
      </c>
      <c r="P16" s="79"/>
      <c r="Q16" s="79">
        <f t="shared" ref="Q16:Q24" si="6">SUM(M16,O16)</f>
        <v>40211.85</v>
      </c>
      <c r="R16" s="79"/>
      <c r="S16" s="79">
        <v>35000</v>
      </c>
      <c r="T16" s="79"/>
      <c r="U16" s="79">
        <v>38000</v>
      </c>
      <c r="V16" s="79"/>
      <c r="W16" s="79">
        <v>39500</v>
      </c>
      <c r="X16" s="79"/>
      <c r="Y16" s="79">
        <f t="shared" ref="Y16:Y24" si="7">SUM(W16,-I16)</f>
        <v>1500</v>
      </c>
      <c r="Z16" s="62"/>
      <c r="AA16" s="63">
        <f t="shared" ref="AA16:AA25" si="8">IF(W16=0,"N/A",PRODUCT(Y16,1/I16))</f>
        <v>3.9473684210526321E-2</v>
      </c>
      <c r="AB16" s="62"/>
      <c r="AC16" s="79">
        <f t="shared" ref="AC16:AC24" si="9">SUM(W16,-Q16)</f>
        <v>-711.84999999999854</v>
      </c>
      <c r="AD16" s="62"/>
      <c r="AE16" s="63">
        <f t="shared" ref="AE16:AE25" si="10">IF(W16=0,"N/A",PRODUCT(AC16,1/Q16))</f>
        <v>-1.7702493170545463E-2</v>
      </c>
      <c r="AF16" s="57"/>
      <c r="AG16" s="56" t="s">
        <v>967</v>
      </c>
      <c r="AH16" s="57"/>
      <c r="AI16" s="57"/>
      <c r="AJ16" s="57"/>
    </row>
    <row r="17" spans="1:36" x14ac:dyDescent="0.2">
      <c r="A17" s="55" t="s">
        <v>525</v>
      </c>
      <c r="B17" s="56" t="s">
        <v>316</v>
      </c>
      <c r="C17" s="77">
        <v>0</v>
      </c>
      <c r="E17" s="77">
        <v>0</v>
      </c>
      <c r="G17" s="77">
        <v>0</v>
      </c>
      <c r="I17" s="77">
        <v>166000</v>
      </c>
      <c r="K17" s="77">
        <v>166000</v>
      </c>
      <c r="M17" s="77">
        <v>164534.20000000001</v>
      </c>
      <c r="O17" s="77">
        <f t="shared" si="5"/>
        <v>0</v>
      </c>
      <c r="Q17" s="77">
        <f t="shared" si="6"/>
        <v>164534.20000000001</v>
      </c>
      <c r="S17" s="77">
        <v>165000</v>
      </c>
      <c r="U17" s="77">
        <v>105000</v>
      </c>
      <c r="W17" s="77">
        <v>105000</v>
      </c>
      <c r="Y17" s="77">
        <f t="shared" si="7"/>
        <v>-61000</v>
      </c>
      <c r="Z17" s="57"/>
      <c r="AA17" s="58">
        <f t="shared" si="8"/>
        <v>-0.36746987951807225</v>
      </c>
      <c r="AB17" s="57"/>
      <c r="AC17" s="77">
        <f t="shared" si="9"/>
        <v>-59534.200000000012</v>
      </c>
      <c r="AD17" s="57"/>
      <c r="AE17" s="58">
        <f t="shared" si="10"/>
        <v>-0.36183480394957407</v>
      </c>
      <c r="AF17" s="57"/>
      <c r="AG17" s="56" t="s">
        <v>970</v>
      </c>
      <c r="AH17" s="57"/>
      <c r="AI17" s="57"/>
      <c r="AJ17" s="57"/>
    </row>
    <row r="18" spans="1:36" x14ac:dyDescent="0.2">
      <c r="A18" s="59" t="s">
        <v>526</v>
      </c>
      <c r="B18" s="60" t="s">
        <v>318</v>
      </c>
      <c r="C18" s="79">
        <v>8773.77</v>
      </c>
      <c r="D18" s="80"/>
      <c r="E18" s="79">
        <v>7320.68</v>
      </c>
      <c r="F18" s="80"/>
      <c r="G18" s="79">
        <v>9115.52</v>
      </c>
      <c r="H18" s="79"/>
      <c r="I18" s="79">
        <v>5500</v>
      </c>
      <c r="J18" s="79"/>
      <c r="K18" s="79">
        <v>5500</v>
      </c>
      <c r="L18" s="79"/>
      <c r="M18" s="79">
        <v>5651.65</v>
      </c>
      <c r="N18" s="79"/>
      <c r="O18" s="79">
        <f t="shared" si="5"/>
        <v>0</v>
      </c>
      <c r="P18" s="79"/>
      <c r="Q18" s="79">
        <f t="shared" si="6"/>
        <v>5651.65</v>
      </c>
      <c r="R18" s="79"/>
      <c r="S18" s="79">
        <v>7500</v>
      </c>
      <c r="T18" s="79"/>
      <c r="U18" s="79">
        <v>7000</v>
      </c>
      <c r="V18" s="79"/>
      <c r="W18" s="79">
        <v>7000</v>
      </c>
      <c r="X18" s="79"/>
      <c r="Y18" s="79">
        <f t="shared" si="7"/>
        <v>1500</v>
      </c>
      <c r="Z18" s="62"/>
      <c r="AA18" s="63">
        <f t="shared" si="8"/>
        <v>0.27272727272727271</v>
      </c>
      <c r="AB18" s="62"/>
      <c r="AC18" s="79">
        <f t="shared" si="9"/>
        <v>1348.3500000000004</v>
      </c>
      <c r="AD18" s="62"/>
      <c r="AE18" s="63">
        <f t="shared" si="10"/>
        <v>0.23857634496120611</v>
      </c>
      <c r="AF18" s="57"/>
      <c r="AH18" s="57"/>
      <c r="AI18" s="57"/>
      <c r="AJ18" s="57"/>
    </row>
    <row r="19" spans="1:36" x14ac:dyDescent="0.2">
      <c r="A19" s="55" t="s">
        <v>527</v>
      </c>
      <c r="B19" s="56" t="s">
        <v>633</v>
      </c>
      <c r="C19" s="77">
        <v>0</v>
      </c>
      <c r="E19" s="77">
        <v>4082.11</v>
      </c>
      <c r="G19" s="77">
        <v>0</v>
      </c>
      <c r="I19" s="77">
        <v>4500</v>
      </c>
      <c r="K19" s="77">
        <v>4500</v>
      </c>
      <c r="M19" s="77">
        <v>4344.12</v>
      </c>
      <c r="O19" s="77">
        <f t="shared" si="5"/>
        <v>0</v>
      </c>
      <c r="Q19" s="77">
        <f t="shared" si="6"/>
        <v>4344.12</v>
      </c>
      <c r="S19" s="77">
        <v>4500</v>
      </c>
      <c r="U19" s="77">
        <v>4500</v>
      </c>
      <c r="W19" s="77">
        <v>4500</v>
      </c>
      <c r="Y19" s="77">
        <f t="shared" si="7"/>
        <v>0</v>
      </c>
      <c r="Z19" s="57"/>
      <c r="AA19" s="58">
        <f t="shared" si="8"/>
        <v>0</v>
      </c>
      <c r="AB19" s="57"/>
      <c r="AC19" s="77">
        <f t="shared" si="9"/>
        <v>155.88000000000011</v>
      </c>
      <c r="AD19" s="57"/>
      <c r="AE19" s="58">
        <f t="shared" si="10"/>
        <v>3.5882986657827159E-2</v>
      </c>
      <c r="AF19" s="57"/>
      <c r="AH19" s="57"/>
      <c r="AI19" s="57"/>
      <c r="AJ19" s="57"/>
    </row>
    <row r="20" spans="1:36" x14ac:dyDescent="0.2">
      <c r="A20" s="59" t="s">
        <v>528</v>
      </c>
      <c r="B20" s="60" t="s">
        <v>325</v>
      </c>
      <c r="C20" s="79">
        <v>12473.26</v>
      </c>
      <c r="D20" s="80"/>
      <c r="E20" s="79">
        <v>13855.05</v>
      </c>
      <c r="F20" s="80"/>
      <c r="G20" s="79">
        <v>13584.66</v>
      </c>
      <c r="H20" s="79"/>
      <c r="I20" s="79">
        <v>41500</v>
      </c>
      <c r="J20" s="79"/>
      <c r="K20" s="79">
        <v>48500</v>
      </c>
      <c r="L20" s="79"/>
      <c r="M20" s="79">
        <v>59899.56</v>
      </c>
      <c r="N20" s="79"/>
      <c r="O20" s="79">
        <f t="shared" si="5"/>
        <v>0</v>
      </c>
      <c r="P20" s="79"/>
      <c r="Q20" s="79">
        <f t="shared" si="6"/>
        <v>59899.56</v>
      </c>
      <c r="R20" s="79"/>
      <c r="S20" s="79">
        <v>30000</v>
      </c>
      <c r="T20" s="79"/>
      <c r="U20" s="79">
        <v>56000</v>
      </c>
      <c r="V20" s="79"/>
      <c r="W20" s="79">
        <v>56000</v>
      </c>
      <c r="X20" s="79"/>
      <c r="Y20" s="79">
        <f t="shared" si="7"/>
        <v>14500</v>
      </c>
      <c r="Z20" s="62"/>
      <c r="AA20" s="63">
        <f t="shared" si="8"/>
        <v>0.34939759036144574</v>
      </c>
      <c r="AB20" s="62"/>
      <c r="AC20" s="79">
        <f t="shared" si="9"/>
        <v>-3899.5599999999977</v>
      </c>
      <c r="AD20" s="62"/>
      <c r="AE20" s="63">
        <f t="shared" si="10"/>
        <v>-6.5101646823449086E-2</v>
      </c>
      <c r="AF20" s="57"/>
      <c r="AG20" s="56" t="s">
        <v>969</v>
      </c>
      <c r="AH20" s="57"/>
      <c r="AI20" s="57"/>
      <c r="AJ20" s="57"/>
    </row>
    <row r="21" spans="1:36" x14ac:dyDescent="0.2">
      <c r="A21" s="55" t="s">
        <v>529</v>
      </c>
      <c r="B21" s="56" t="s">
        <v>327</v>
      </c>
      <c r="C21" s="77">
        <v>7012.29</v>
      </c>
      <c r="E21" s="77">
        <v>2813.56</v>
      </c>
      <c r="G21" s="77">
        <v>8471.24</v>
      </c>
      <c r="I21" s="77">
        <v>18000</v>
      </c>
      <c r="K21" s="77">
        <v>18000</v>
      </c>
      <c r="M21" s="77">
        <v>18134.77</v>
      </c>
      <c r="O21" s="77">
        <f t="shared" si="5"/>
        <v>0</v>
      </c>
      <c r="Q21" s="77">
        <f t="shared" si="6"/>
        <v>18134.77</v>
      </c>
      <c r="S21" s="77">
        <v>17500</v>
      </c>
      <c r="U21" s="77">
        <v>18000</v>
      </c>
      <c r="W21" s="77">
        <v>18000</v>
      </c>
      <c r="Y21" s="77">
        <f t="shared" si="7"/>
        <v>0</v>
      </c>
      <c r="Z21" s="57"/>
      <c r="AA21" s="58">
        <f t="shared" si="8"/>
        <v>0</v>
      </c>
      <c r="AB21" s="57"/>
      <c r="AC21" s="77">
        <f t="shared" si="9"/>
        <v>-134.77000000000044</v>
      </c>
      <c r="AD21" s="57"/>
      <c r="AE21" s="58">
        <f t="shared" si="10"/>
        <v>-7.4315803288379414E-3</v>
      </c>
      <c r="AF21" s="57"/>
      <c r="AH21" s="57"/>
      <c r="AI21" s="57"/>
      <c r="AJ21" s="57"/>
    </row>
    <row r="22" spans="1:36" x14ac:dyDescent="0.2">
      <c r="A22" s="59" t="s">
        <v>530</v>
      </c>
      <c r="B22" s="60" t="s">
        <v>328</v>
      </c>
      <c r="C22" s="79">
        <v>26035.26</v>
      </c>
      <c r="D22" s="80"/>
      <c r="E22" s="79">
        <v>36201.800000000003</v>
      </c>
      <c r="F22" s="80"/>
      <c r="G22" s="79">
        <v>58584.31</v>
      </c>
      <c r="H22" s="79"/>
      <c r="I22" s="79">
        <v>68500</v>
      </c>
      <c r="J22" s="79"/>
      <c r="K22" s="79">
        <v>58000</v>
      </c>
      <c r="L22" s="79"/>
      <c r="M22" s="79">
        <v>54015.360000000001</v>
      </c>
      <c r="N22" s="79"/>
      <c r="O22" s="79">
        <f t="shared" si="5"/>
        <v>0</v>
      </c>
      <c r="P22" s="79"/>
      <c r="Q22" s="79">
        <f t="shared" si="6"/>
        <v>54015.360000000001</v>
      </c>
      <c r="R22" s="79"/>
      <c r="S22" s="79">
        <v>55000</v>
      </c>
      <c r="T22" s="79"/>
      <c r="U22" s="79">
        <v>60000</v>
      </c>
      <c r="V22" s="79"/>
      <c r="W22" s="79">
        <v>60000</v>
      </c>
      <c r="X22" s="79"/>
      <c r="Y22" s="79">
        <f t="shared" si="7"/>
        <v>-8500</v>
      </c>
      <c r="Z22" s="62"/>
      <c r="AA22" s="63">
        <f t="shared" si="8"/>
        <v>-0.12408759124087591</v>
      </c>
      <c r="AB22" s="62"/>
      <c r="AC22" s="79">
        <f t="shared" si="9"/>
        <v>5984.6399999999994</v>
      </c>
      <c r="AD22" s="62"/>
      <c r="AE22" s="63">
        <f t="shared" si="10"/>
        <v>0.11079515160132228</v>
      </c>
      <c r="AF22" s="57"/>
      <c r="AH22" s="57"/>
      <c r="AI22" s="57"/>
      <c r="AJ22" s="57"/>
    </row>
    <row r="23" spans="1:36" x14ac:dyDescent="0.2">
      <c r="A23" s="55" t="s">
        <v>531</v>
      </c>
      <c r="B23" s="56" t="s">
        <v>636</v>
      </c>
      <c r="C23" s="77">
        <v>2616.2800000000002</v>
      </c>
      <c r="E23" s="77">
        <v>2778.56</v>
      </c>
      <c r="G23" s="77">
        <v>2911.14</v>
      </c>
      <c r="I23" s="77">
        <v>5000</v>
      </c>
      <c r="K23" s="77">
        <v>5000</v>
      </c>
      <c r="M23" s="77">
        <v>4242.72</v>
      </c>
      <c r="O23" s="77">
        <f t="shared" si="5"/>
        <v>0</v>
      </c>
      <c r="Q23" s="77">
        <f t="shared" si="6"/>
        <v>4242.72</v>
      </c>
      <c r="S23" s="77">
        <v>4000</v>
      </c>
      <c r="U23" s="77">
        <v>4500</v>
      </c>
      <c r="W23" s="77">
        <v>4500</v>
      </c>
      <c r="Y23" s="77">
        <f t="shared" si="7"/>
        <v>-500</v>
      </c>
      <c r="Z23" s="57"/>
      <c r="AA23" s="58">
        <f t="shared" si="8"/>
        <v>-0.1</v>
      </c>
      <c r="AB23" s="57"/>
      <c r="AC23" s="77">
        <f t="shared" si="9"/>
        <v>257.27999999999975</v>
      </c>
      <c r="AD23" s="57"/>
      <c r="AE23" s="58">
        <f t="shared" si="10"/>
        <v>6.0640343930308795E-2</v>
      </c>
      <c r="AF23" s="57"/>
      <c r="AH23" s="57"/>
      <c r="AI23" s="57"/>
      <c r="AJ23" s="57"/>
    </row>
    <row r="24" spans="1:36" x14ac:dyDescent="0.2">
      <c r="A24" s="59" t="s">
        <v>532</v>
      </c>
      <c r="B24" s="60" t="s">
        <v>637</v>
      </c>
      <c r="C24" s="79">
        <v>100</v>
      </c>
      <c r="D24" s="80"/>
      <c r="E24" s="79">
        <v>0</v>
      </c>
      <c r="F24" s="80"/>
      <c r="G24" s="79">
        <v>62</v>
      </c>
      <c r="H24" s="79"/>
      <c r="I24" s="79">
        <v>250</v>
      </c>
      <c r="J24" s="79"/>
      <c r="K24" s="79">
        <v>250</v>
      </c>
      <c r="L24" s="79"/>
      <c r="M24" s="79">
        <v>0</v>
      </c>
      <c r="N24" s="79"/>
      <c r="O24" s="79">
        <f t="shared" si="5"/>
        <v>0</v>
      </c>
      <c r="P24" s="79"/>
      <c r="Q24" s="79">
        <f t="shared" si="6"/>
        <v>0</v>
      </c>
      <c r="R24" s="79"/>
      <c r="S24" s="79">
        <v>250</v>
      </c>
      <c r="T24" s="79"/>
      <c r="U24" s="79">
        <v>1000</v>
      </c>
      <c r="V24" s="79"/>
      <c r="W24" s="79">
        <v>1000</v>
      </c>
      <c r="X24" s="79"/>
      <c r="Y24" s="79">
        <f t="shared" si="7"/>
        <v>750</v>
      </c>
      <c r="Z24" s="62"/>
      <c r="AA24" s="63">
        <f t="shared" si="8"/>
        <v>3</v>
      </c>
      <c r="AB24" s="62"/>
      <c r="AC24" s="79">
        <f t="shared" si="9"/>
        <v>1000</v>
      </c>
      <c r="AD24" s="62"/>
      <c r="AE24" s="63" t="e">
        <f t="shared" si="10"/>
        <v>#DIV/0!</v>
      </c>
      <c r="AF24" s="57"/>
      <c r="AG24" s="56" t="s">
        <v>968</v>
      </c>
      <c r="AH24" s="57"/>
      <c r="AI24" s="57"/>
      <c r="AJ24" s="57"/>
    </row>
    <row r="25" spans="1:36" x14ac:dyDescent="0.2">
      <c r="A25" s="64" t="s">
        <v>49</v>
      </c>
      <c r="C25" s="81">
        <f>SUM(C16:C24)</f>
        <v>72342.61</v>
      </c>
      <c r="E25" s="81">
        <f>SUM(E16:E24)</f>
        <v>87803.76</v>
      </c>
      <c r="G25" s="81">
        <f>SUM(G16:G24)</f>
        <v>114889.62</v>
      </c>
      <c r="I25" s="81">
        <f>SUM(I16:I24)</f>
        <v>347250</v>
      </c>
      <c r="K25" s="81">
        <f>SUM(K16:K24)</f>
        <v>343750</v>
      </c>
      <c r="M25" s="81">
        <f>SUM(M16:M24)</f>
        <v>351034.23</v>
      </c>
      <c r="O25" s="81">
        <f>SUM(O16:O24)</f>
        <v>0</v>
      </c>
      <c r="Q25" s="81">
        <f>SUM(Q16:Q24)</f>
        <v>351034.23</v>
      </c>
      <c r="S25" s="81">
        <f>SUM(S16:S24)</f>
        <v>318750</v>
      </c>
      <c r="U25" s="81">
        <f>SUM(U16:U24)</f>
        <v>294000</v>
      </c>
      <c r="W25" s="81">
        <f>SUM(W16:W24)</f>
        <v>295500</v>
      </c>
      <c r="Y25" s="81">
        <f>SUM(Y16:Y24)</f>
        <v>-51750</v>
      </c>
      <c r="Z25" s="57"/>
      <c r="AA25" s="65">
        <f t="shared" si="8"/>
        <v>-0.14902807775377971</v>
      </c>
      <c r="AB25" s="57"/>
      <c r="AC25" s="81">
        <f>SUM(AC16:AC24)</f>
        <v>-55534.23000000001</v>
      </c>
      <c r="AD25" s="57"/>
      <c r="AE25" s="65">
        <f t="shared" si="10"/>
        <v>-0.15820175143603521</v>
      </c>
      <c r="AF25" s="57"/>
      <c r="AH25" s="57"/>
      <c r="AI25" s="57"/>
      <c r="AJ25" s="57"/>
    </row>
    <row r="26" spans="1:36" x14ac:dyDescent="0.2">
      <c r="Z26" s="57"/>
      <c r="AB26" s="57"/>
      <c r="AD26" s="57"/>
      <c r="AF26" s="57"/>
      <c r="AH26" s="57"/>
      <c r="AI26" s="57"/>
      <c r="AJ26" s="57"/>
    </row>
    <row r="27" spans="1:36" x14ac:dyDescent="0.2">
      <c r="A27" s="54" t="s">
        <v>65</v>
      </c>
      <c r="Z27" s="57"/>
      <c r="AB27" s="57"/>
      <c r="AD27" s="57"/>
      <c r="AF27" s="57"/>
      <c r="AH27" s="57"/>
      <c r="AI27" s="57"/>
      <c r="AJ27" s="57"/>
    </row>
    <row r="28" spans="1:36" x14ac:dyDescent="0.2">
      <c r="A28" s="59" t="s">
        <v>533</v>
      </c>
      <c r="B28" s="60" t="s">
        <v>443</v>
      </c>
      <c r="C28" s="79">
        <v>240</v>
      </c>
      <c r="D28" s="80"/>
      <c r="E28" s="79">
        <v>965.08</v>
      </c>
      <c r="F28" s="80"/>
      <c r="G28" s="79">
        <v>846.1</v>
      </c>
      <c r="H28" s="79"/>
      <c r="I28" s="79">
        <v>1500</v>
      </c>
      <c r="J28" s="79"/>
      <c r="K28" s="79">
        <v>1500</v>
      </c>
      <c r="L28" s="79"/>
      <c r="M28" s="79">
        <v>386.99</v>
      </c>
      <c r="N28" s="79"/>
      <c r="O28" s="79">
        <f>PRODUCT(M28,0/12)</f>
        <v>0</v>
      </c>
      <c r="P28" s="79"/>
      <c r="Q28" s="79">
        <f>SUM(M28,O28)</f>
        <v>386.99</v>
      </c>
      <c r="R28" s="79"/>
      <c r="S28" s="79">
        <v>1250</v>
      </c>
      <c r="T28" s="79"/>
      <c r="U28" s="79">
        <v>1500</v>
      </c>
      <c r="V28" s="79"/>
      <c r="W28" s="79">
        <v>1500</v>
      </c>
      <c r="X28" s="79"/>
      <c r="Y28" s="79">
        <f>SUM(W28,-I28)</f>
        <v>0</v>
      </c>
      <c r="Z28" s="62"/>
      <c r="AA28" s="63">
        <f>IF(W28=0,"N/A",PRODUCT(Y28,1/I28))</f>
        <v>0</v>
      </c>
      <c r="AB28" s="62"/>
      <c r="AC28" s="79">
        <f>SUM(W28,-Q28)</f>
        <v>1113.01</v>
      </c>
      <c r="AD28" s="62"/>
      <c r="AE28" s="63">
        <f>IF(W28=0,"N/A",PRODUCT(AC28,1/Q28))</f>
        <v>2.8760691490736194</v>
      </c>
      <c r="AF28" s="57"/>
      <c r="AH28" s="57"/>
      <c r="AI28" s="57"/>
      <c r="AJ28" s="57"/>
    </row>
    <row r="29" spans="1:36" x14ac:dyDescent="0.2">
      <c r="A29" s="55" t="s">
        <v>534</v>
      </c>
      <c r="B29" s="56" t="s">
        <v>225</v>
      </c>
      <c r="C29" s="77">
        <v>29194.79</v>
      </c>
      <c r="E29" s="77">
        <v>21079.11</v>
      </c>
      <c r="G29" s="77">
        <v>26155.65</v>
      </c>
      <c r="I29" s="77">
        <v>31000</v>
      </c>
      <c r="K29" s="77">
        <v>34500</v>
      </c>
      <c r="M29" s="77">
        <v>36913.78</v>
      </c>
      <c r="O29" s="77">
        <f>PRODUCT(M29,0/12)</f>
        <v>0</v>
      </c>
      <c r="Q29" s="77">
        <f>SUM(M29,O29)</f>
        <v>36913.78</v>
      </c>
      <c r="S29" s="77">
        <v>32500</v>
      </c>
      <c r="U29" s="77">
        <v>35000</v>
      </c>
      <c r="W29" s="77">
        <v>35000</v>
      </c>
      <c r="Y29" s="77">
        <f>SUM(W29,-I29)</f>
        <v>4000</v>
      </c>
      <c r="Z29" s="57"/>
      <c r="AA29" s="58">
        <f>IF(W29=0,"N/A",PRODUCT(Y29,1/I29))</f>
        <v>0.12903225806451613</v>
      </c>
      <c r="AB29" s="57"/>
      <c r="AC29" s="77">
        <f>SUM(W29,-Q29)</f>
        <v>-1913.7799999999988</v>
      </c>
      <c r="AD29" s="57"/>
      <c r="AE29" s="58">
        <f>IF(W29=0,"N/A",PRODUCT(AC29,1/Q29))</f>
        <v>-5.184459570382656E-2</v>
      </c>
      <c r="AF29" s="57"/>
      <c r="AG29" s="56" t="s">
        <v>971</v>
      </c>
      <c r="AH29" s="57"/>
      <c r="AI29" s="57"/>
      <c r="AJ29" s="57"/>
    </row>
    <row r="30" spans="1:36" x14ac:dyDescent="0.2">
      <c r="A30" s="59" t="s">
        <v>535</v>
      </c>
      <c r="B30" s="60" t="s">
        <v>536</v>
      </c>
      <c r="C30" s="79">
        <v>3427.54</v>
      </c>
      <c r="D30" s="80"/>
      <c r="E30" s="79">
        <v>495.07</v>
      </c>
      <c r="F30" s="80"/>
      <c r="G30" s="79">
        <v>436.8</v>
      </c>
      <c r="H30" s="79"/>
      <c r="I30" s="79">
        <v>1000</v>
      </c>
      <c r="J30" s="79"/>
      <c r="K30" s="79">
        <v>1000</v>
      </c>
      <c r="L30" s="79"/>
      <c r="M30" s="79">
        <v>1170.05</v>
      </c>
      <c r="N30" s="79"/>
      <c r="O30" s="79">
        <f>PRODUCT(M30,0/12)</f>
        <v>0</v>
      </c>
      <c r="P30" s="79"/>
      <c r="Q30" s="79">
        <f>SUM(M30,O30)</f>
        <v>1170.05</v>
      </c>
      <c r="R30" s="79"/>
      <c r="S30" s="79">
        <v>1000</v>
      </c>
      <c r="T30" s="79"/>
      <c r="U30" s="79">
        <v>1000</v>
      </c>
      <c r="V30" s="79"/>
      <c r="W30" s="79">
        <v>1000</v>
      </c>
      <c r="X30" s="79"/>
      <c r="Y30" s="79">
        <f>SUM(W30,-I30)</f>
        <v>0</v>
      </c>
      <c r="Z30" s="62"/>
      <c r="AA30" s="63">
        <f>IF(W30=0,"N/A",PRODUCT(Y30,1/I30))</f>
        <v>0</v>
      </c>
      <c r="AB30" s="62"/>
      <c r="AC30" s="79">
        <f>SUM(W30,-Q30)</f>
        <v>-170.04999999999995</v>
      </c>
      <c r="AD30" s="62"/>
      <c r="AE30" s="63">
        <f>IF(W30=0,"N/A",PRODUCT(AC30,1/Q30))</f>
        <v>-0.14533566941583689</v>
      </c>
      <c r="AF30" s="57"/>
      <c r="AH30" s="57"/>
      <c r="AI30" s="57"/>
      <c r="AJ30" s="57"/>
    </row>
    <row r="31" spans="1:36" x14ac:dyDescent="0.2">
      <c r="A31" s="64" t="s">
        <v>66</v>
      </c>
      <c r="C31" s="81">
        <f>SUM(C28:C30)</f>
        <v>32862.33</v>
      </c>
      <c r="E31" s="81">
        <f>SUM(E28:E30)</f>
        <v>22539.260000000002</v>
      </c>
      <c r="G31" s="81">
        <f>SUM(G28:G30)</f>
        <v>27438.55</v>
      </c>
      <c r="I31" s="81">
        <f>SUM(I28:I30)</f>
        <v>33500</v>
      </c>
      <c r="K31" s="81">
        <f>SUM(K28:K30)</f>
        <v>37000</v>
      </c>
      <c r="M31" s="81">
        <f>SUM(M28:M30)</f>
        <v>38470.82</v>
      </c>
      <c r="O31" s="81">
        <f>SUM(O28:O30)</f>
        <v>0</v>
      </c>
      <c r="Q31" s="81">
        <f>SUM(Q28:Q30)</f>
        <v>38470.82</v>
      </c>
      <c r="S31" s="81">
        <f>SUM(S28:S30)</f>
        <v>34750</v>
      </c>
      <c r="U31" s="81">
        <f>SUM(U28:U30)</f>
        <v>37500</v>
      </c>
      <c r="W31" s="81">
        <f>SUM(W28:W30)</f>
        <v>37500</v>
      </c>
      <c r="Y31" s="81">
        <f>SUM(Y28:Y30)</f>
        <v>4000</v>
      </c>
      <c r="Z31" s="57"/>
      <c r="AA31" s="65">
        <f>IF(W31=0,"N/A",PRODUCT(Y31,1/I31))</f>
        <v>0.11940298507462686</v>
      </c>
      <c r="AB31" s="57"/>
      <c r="AC31" s="81">
        <f>SUM(AC28:AC30)</f>
        <v>-970.8199999999988</v>
      </c>
      <c r="AD31" s="57"/>
      <c r="AE31" s="65">
        <f>IF(W31=0,"N/A",PRODUCT(AC31,1/Q31))</f>
        <v>-2.5235230234239844E-2</v>
      </c>
      <c r="AF31" s="57"/>
      <c r="AH31" s="57"/>
      <c r="AI31" s="57"/>
      <c r="AJ31" s="57"/>
    </row>
    <row r="32" spans="1:36" x14ac:dyDescent="0.2">
      <c r="Z32" s="57"/>
      <c r="AB32" s="57"/>
      <c r="AD32" s="57"/>
      <c r="AF32" s="57"/>
      <c r="AH32" s="57"/>
      <c r="AI32" s="57"/>
      <c r="AJ32" s="57"/>
    </row>
    <row r="33" spans="1:36" x14ac:dyDescent="0.2">
      <c r="A33" s="54" t="s">
        <v>69</v>
      </c>
      <c r="Z33" s="57"/>
      <c r="AB33" s="57"/>
      <c r="AD33" s="57"/>
      <c r="AF33" s="57"/>
      <c r="AH33" s="57"/>
      <c r="AI33" s="57"/>
      <c r="AJ33" s="57"/>
    </row>
    <row r="34" spans="1:36" x14ac:dyDescent="0.2">
      <c r="A34" s="59" t="s">
        <v>537</v>
      </c>
      <c r="B34" s="60" t="s">
        <v>639</v>
      </c>
      <c r="C34" s="79">
        <v>1696.39</v>
      </c>
      <c r="D34" s="80"/>
      <c r="E34" s="79">
        <v>367.2</v>
      </c>
      <c r="F34" s="80"/>
      <c r="G34" s="79">
        <v>250</v>
      </c>
      <c r="H34" s="79"/>
      <c r="I34" s="79">
        <v>1000</v>
      </c>
      <c r="J34" s="79"/>
      <c r="K34" s="79">
        <v>1000</v>
      </c>
      <c r="L34" s="79"/>
      <c r="M34" s="79">
        <v>0</v>
      </c>
      <c r="N34" s="79"/>
      <c r="O34" s="79">
        <f t="shared" ref="O34:O40" si="11">PRODUCT(M34,0/12)</f>
        <v>0</v>
      </c>
      <c r="P34" s="79"/>
      <c r="Q34" s="79">
        <f t="shared" ref="Q34:Q40" si="12">SUM(M34,O34)</f>
        <v>0</v>
      </c>
      <c r="R34" s="79"/>
      <c r="S34" s="79">
        <v>1000</v>
      </c>
      <c r="T34" s="79"/>
      <c r="U34" s="79">
        <v>1000</v>
      </c>
      <c r="V34" s="79"/>
      <c r="W34" s="79">
        <v>1000</v>
      </c>
      <c r="X34" s="79"/>
      <c r="Y34" s="79">
        <f t="shared" ref="Y34:Y40" si="13">SUM(W34,-I34)</f>
        <v>0</v>
      </c>
      <c r="Z34" s="62"/>
      <c r="AA34" s="63">
        <f t="shared" ref="AA34:AA41" si="14">IF(W34=0,"N/A",PRODUCT(Y34,1/I34))</f>
        <v>0</v>
      </c>
      <c r="AB34" s="62"/>
      <c r="AC34" s="79">
        <f t="shared" ref="AC34:AC40" si="15">SUM(W34,-Q34)</f>
        <v>1000</v>
      </c>
      <c r="AD34" s="62"/>
      <c r="AE34" s="63" t="e">
        <f t="shared" ref="AE34:AE41" si="16">IF(W34=0,"N/A",PRODUCT(AC34,1/Q34))</f>
        <v>#DIV/0!</v>
      </c>
      <c r="AF34" s="57"/>
      <c r="AH34" s="57"/>
      <c r="AI34" s="57"/>
      <c r="AJ34" s="57"/>
    </row>
    <row r="35" spans="1:36" x14ac:dyDescent="0.2">
      <c r="A35" s="55" t="s">
        <v>538</v>
      </c>
      <c r="B35" s="56" t="s">
        <v>347</v>
      </c>
      <c r="C35" s="77">
        <v>4576.5200000000004</v>
      </c>
      <c r="E35" s="77">
        <v>3484.94</v>
      </c>
      <c r="G35" s="77">
        <v>3375.43</v>
      </c>
      <c r="I35" s="77">
        <v>5000</v>
      </c>
      <c r="K35" s="77">
        <v>5000</v>
      </c>
      <c r="M35" s="77">
        <v>3590.07</v>
      </c>
      <c r="O35" s="77">
        <f t="shared" si="11"/>
        <v>0</v>
      </c>
      <c r="Q35" s="77">
        <f t="shared" si="12"/>
        <v>3590.07</v>
      </c>
      <c r="S35" s="77">
        <v>5000</v>
      </c>
      <c r="U35" s="77">
        <v>5000</v>
      </c>
      <c r="W35" s="77">
        <v>5000</v>
      </c>
      <c r="Y35" s="77">
        <f t="shared" si="13"/>
        <v>0</v>
      </c>
      <c r="Z35" s="57"/>
      <c r="AA35" s="58">
        <f t="shared" si="14"/>
        <v>0</v>
      </c>
      <c r="AB35" s="57"/>
      <c r="AC35" s="77">
        <f t="shared" si="15"/>
        <v>1409.9299999999998</v>
      </c>
      <c r="AD35" s="57"/>
      <c r="AE35" s="58">
        <f t="shared" si="16"/>
        <v>0.39273050386204161</v>
      </c>
      <c r="AF35" s="57"/>
      <c r="AH35" s="57"/>
      <c r="AI35" s="57"/>
      <c r="AJ35" s="57"/>
    </row>
    <row r="36" spans="1:36" x14ac:dyDescent="0.2">
      <c r="A36" s="59" t="s">
        <v>539</v>
      </c>
      <c r="B36" s="60" t="s">
        <v>228</v>
      </c>
      <c r="C36" s="79">
        <v>113.84</v>
      </c>
      <c r="D36" s="80"/>
      <c r="E36" s="79">
        <v>82.68</v>
      </c>
      <c r="F36" s="80"/>
      <c r="G36" s="79">
        <v>104.24</v>
      </c>
      <c r="H36" s="79"/>
      <c r="I36" s="79">
        <v>200</v>
      </c>
      <c r="J36" s="79"/>
      <c r="K36" s="79">
        <v>200</v>
      </c>
      <c r="L36" s="79"/>
      <c r="M36" s="79">
        <v>255.8</v>
      </c>
      <c r="N36" s="79"/>
      <c r="O36" s="79">
        <f t="shared" si="11"/>
        <v>0</v>
      </c>
      <c r="P36" s="79"/>
      <c r="Q36" s="79">
        <f t="shared" si="12"/>
        <v>255.8</v>
      </c>
      <c r="R36" s="79"/>
      <c r="S36" s="79">
        <v>250</v>
      </c>
      <c r="T36" s="79"/>
      <c r="U36" s="79">
        <v>250</v>
      </c>
      <c r="V36" s="79"/>
      <c r="W36" s="79">
        <v>250</v>
      </c>
      <c r="X36" s="79"/>
      <c r="Y36" s="79">
        <f t="shared" si="13"/>
        <v>50</v>
      </c>
      <c r="Z36" s="62"/>
      <c r="AA36" s="63">
        <f t="shared" si="14"/>
        <v>0.25</v>
      </c>
      <c r="AB36" s="62"/>
      <c r="AC36" s="79">
        <f t="shared" si="15"/>
        <v>-5.8000000000000114</v>
      </c>
      <c r="AD36" s="62"/>
      <c r="AE36" s="63">
        <f t="shared" si="16"/>
        <v>-2.267396403440192E-2</v>
      </c>
      <c r="AF36" s="57"/>
      <c r="AH36" s="57"/>
      <c r="AI36" s="57"/>
      <c r="AJ36" s="57"/>
    </row>
    <row r="37" spans="1:36" x14ac:dyDescent="0.2">
      <c r="A37" s="55" t="s">
        <v>540</v>
      </c>
      <c r="B37" s="56" t="s">
        <v>351</v>
      </c>
      <c r="C37" s="77">
        <v>4585.87</v>
      </c>
      <c r="E37" s="77">
        <v>2255.25</v>
      </c>
      <c r="G37" s="77">
        <v>1855.3</v>
      </c>
      <c r="I37" s="77">
        <v>3500</v>
      </c>
      <c r="K37" s="77">
        <v>3500</v>
      </c>
      <c r="M37" s="77">
        <v>1940</v>
      </c>
      <c r="O37" s="77">
        <f t="shared" si="11"/>
        <v>0</v>
      </c>
      <c r="Q37" s="77">
        <f t="shared" si="12"/>
        <v>1940</v>
      </c>
      <c r="S37" s="77">
        <v>3000</v>
      </c>
      <c r="U37" s="77">
        <v>3500</v>
      </c>
      <c r="W37" s="77">
        <v>3500</v>
      </c>
      <c r="Y37" s="77">
        <f t="shared" si="13"/>
        <v>0</v>
      </c>
      <c r="Z37" s="57"/>
      <c r="AA37" s="58">
        <f t="shared" si="14"/>
        <v>0</v>
      </c>
      <c r="AB37" s="57"/>
      <c r="AC37" s="77">
        <f t="shared" si="15"/>
        <v>1560</v>
      </c>
      <c r="AD37" s="57"/>
      <c r="AE37" s="58">
        <f t="shared" si="16"/>
        <v>0.80412371134020622</v>
      </c>
      <c r="AF37" s="57"/>
      <c r="AH37" s="57"/>
      <c r="AI37" s="57"/>
      <c r="AJ37" s="57"/>
    </row>
    <row r="38" spans="1:36" x14ac:dyDescent="0.2">
      <c r="A38" s="59" t="s">
        <v>541</v>
      </c>
      <c r="B38" s="60" t="s">
        <v>450</v>
      </c>
      <c r="C38" s="79">
        <v>4318.08</v>
      </c>
      <c r="D38" s="80"/>
      <c r="E38" s="79">
        <v>1990.7</v>
      </c>
      <c r="F38" s="80"/>
      <c r="G38" s="79">
        <v>1708.4</v>
      </c>
      <c r="H38" s="79"/>
      <c r="I38" s="79">
        <v>3500</v>
      </c>
      <c r="J38" s="79"/>
      <c r="K38" s="79">
        <v>3500</v>
      </c>
      <c r="L38" s="79"/>
      <c r="M38" s="79">
        <v>3040.82</v>
      </c>
      <c r="N38" s="79"/>
      <c r="O38" s="79">
        <f t="shared" si="11"/>
        <v>0</v>
      </c>
      <c r="P38" s="79"/>
      <c r="Q38" s="79">
        <f t="shared" si="12"/>
        <v>3040.82</v>
      </c>
      <c r="R38" s="79"/>
      <c r="S38" s="79">
        <v>3000</v>
      </c>
      <c r="T38" s="79"/>
      <c r="U38" s="79">
        <v>3500</v>
      </c>
      <c r="V38" s="79"/>
      <c r="W38" s="79">
        <v>3500</v>
      </c>
      <c r="X38" s="79"/>
      <c r="Y38" s="79">
        <f t="shared" si="13"/>
        <v>0</v>
      </c>
      <c r="Z38" s="62"/>
      <c r="AA38" s="63">
        <f t="shared" si="14"/>
        <v>0</v>
      </c>
      <c r="AB38" s="62"/>
      <c r="AC38" s="79">
        <f t="shared" si="15"/>
        <v>459.17999999999984</v>
      </c>
      <c r="AD38" s="62"/>
      <c r="AE38" s="63">
        <f t="shared" si="16"/>
        <v>0.15100532093316929</v>
      </c>
      <c r="AF38" s="57"/>
      <c r="AG38" s="56" t="s">
        <v>972</v>
      </c>
      <c r="AH38" s="57"/>
      <c r="AI38" s="57"/>
      <c r="AJ38" s="57"/>
    </row>
    <row r="39" spans="1:36" x14ac:dyDescent="0.2">
      <c r="A39" s="55" t="s">
        <v>542</v>
      </c>
      <c r="B39" s="56" t="s">
        <v>454</v>
      </c>
      <c r="C39" s="77">
        <v>4896.54</v>
      </c>
      <c r="E39" s="77">
        <v>3521.8</v>
      </c>
      <c r="G39" s="77">
        <v>15426.97</v>
      </c>
      <c r="I39" s="77">
        <v>0</v>
      </c>
      <c r="K39" s="77">
        <v>0</v>
      </c>
      <c r="M39" s="77">
        <v>0</v>
      </c>
      <c r="O39" s="77">
        <f t="shared" si="11"/>
        <v>0</v>
      </c>
      <c r="Q39" s="77">
        <f t="shared" si="12"/>
        <v>0</v>
      </c>
      <c r="S39" s="77">
        <v>0</v>
      </c>
      <c r="U39" s="77">
        <v>0</v>
      </c>
      <c r="W39" s="77">
        <v>0</v>
      </c>
      <c r="Y39" s="77">
        <f t="shared" si="13"/>
        <v>0</v>
      </c>
      <c r="Z39" s="57"/>
      <c r="AA39" s="58" t="str">
        <f t="shared" si="14"/>
        <v>N/A</v>
      </c>
      <c r="AB39" s="57"/>
      <c r="AC39" s="77">
        <f t="shared" si="15"/>
        <v>0</v>
      </c>
      <c r="AD39" s="57"/>
      <c r="AE39" s="58" t="str">
        <f t="shared" si="16"/>
        <v>N/A</v>
      </c>
      <c r="AF39" s="57"/>
      <c r="AH39" s="57"/>
      <c r="AI39" s="57"/>
      <c r="AJ39" s="57"/>
    </row>
    <row r="40" spans="1:36" x14ac:dyDescent="0.2">
      <c r="A40" s="59" t="s">
        <v>543</v>
      </c>
      <c r="B40" s="60" t="s">
        <v>217</v>
      </c>
      <c r="C40" s="79">
        <v>10351.67</v>
      </c>
      <c r="D40" s="80"/>
      <c r="E40" s="79">
        <v>12672.7</v>
      </c>
      <c r="F40" s="80"/>
      <c r="G40" s="79">
        <v>6624.21</v>
      </c>
      <c r="H40" s="79"/>
      <c r="I40" s="79">
        <v>10000</v>
      </c>
      <c r="J40" s="79"/>
      <c r="K40" s="79">
        <v>10000</v>
      </c>
      <c r="L40" s="79"/>
      <c r="M40" s="79">
        <v>9074.1200000000008</v>
      </c>
      <c r="N40" s="79"/>
      <c r="O40" s="79">
        <f t="shared" si="11"/>
        <v>0</v>
      </c>
      <c r="P40" s="79"/>
      <c r="Q40" s="79">
        <f t="shared" si="12"/>
        <v>9074.1200000000008</v>
      </c>
      <c r="R40" s="79"/>
      <c r="S40" s="79">
        <v>10000</v>
      </c>
      <c r="T40" s="79"/>
      <c r="U40" s="79">
        <v>10500</v>
      </c>
      <c r="V40" s="79"/>
      <c r="W40" s="79">
        <v>10500</v>
      </c>
      <c r="X40" s="79"/>
      <c r="Y40" s="79">
        <f t="shared" si="13"/>
        <v>500</v>
      </c>
      <c r="Z40" s="62"/>
      <c r="AA40" s="63">
        <f>IF(W40=0,"N/A",PRODUCT(Y40,1/I40))</f>
        <v>0.05</v>
      </c>
      <c r="AB40" s="62"/>
      <c r="AC40" s="79">
        <f t="shared" si="15"/>
        <v>1425.8799999999992</v>
      </c>
      <c r="AD40" s="62"/>
      <c r="AE40" s="63">
        <f t="shared" si="16"/>
        <v>0.15713700061273148</v>
      </c>
      <c r="AF40" s="57"/>
      <c r="AG40" s="56" t="s">
        <v>973</v>
      </c>
      <c r="AH40" s="57"/>
      <c r="AI40" s="57"/>
      <c r="AJ40" s="57"/>
    </row>
    <row r="41" spans="1:36" x14ac:dyDescent="0.2">
      <c r="A41" s="64" t="s">
        <v>70</v>
      </c>
      <c r="C41" s="81">
        <f>SUM(C34:C40)</f>
        <v>30538.910000000003</v>
      </c>
      <c r="E41" s="81">
        <f>SUM(E34:E40)</f>
        <v>24375.27</v>
      </c>
      <c r="G41" s="81">
        <f>SUM(G34:G40)</f>
        <v>29344.549999999996</v>
      </c>
      <c r="I41" s="81">
        <f>SUM(I34:I40)</f>
        <v>23200</v>
      </c>
      <c r="K41" s="81">
        <f>SUM(K34:K40)</f>
        <v>23200</v>
      </c>
      <c r="M41" s="81">
        <f>SUM(M34:M40)</f>
        <v>17900.810000000001</v>
      </c>
      <c r="O41" s="81">
        <f>SUM(O34:O40)</f>
        <v>0</v>
      </c>
      <c r="Q41" s="81">
        <f>SUM(Q34:Q40)</f>
        <v>17900.810000000001</v>
      </c>
      <c r="S41" s="81">
        <f>SUM(S34:S40)</f>
        <v>22250</v>
      </c>
      <c r="U41" s="81">
        <f>SUM(U34:U40)</f>
        <v>23750</v>
      </c>
      <c r="W41" s="81">
        <f>SUM(W34:W40)</f>
        <v>23750</v>
      </c>
      <c r="Y41" s="81">
        <f>SUM(Y34:Y40)</f>
        <v>550</v>
      </c>
      <c r="Z41" s="57"/>
      <c r="AA41" s="65">
        <f t="shared" si="14"/>
        <v>2.3706896551724137E-2</v>
      </c>
      <c r="AB41" s="57"/>
      <c r="AC41" s="81">
        <f>SUM(AC34:AC40)</f>
        <v>5849.1899999999987</v>
      </c>
      <c r="AD41" s="57"/>
      <c r="AE41" s="65">
        <f t="shared" si="16"/>
        <v>0.32675560491396749</v>
      </c>
      <c r="AF41" s="57"/>
      <c r="AH41" s="57"/>
      <c r="AI41" s="57"/>
      <c r="AJ41" s="57"/>
    </row>
    <row r="42" spans="1:36" x14ac:dyDescent="0.2">
      <c r="A42" s="55"/>
      <c r="Z42" s="57"/>
      <c r="AB42" s="57"/>
      <c r="AD42" s="57"/>
      <c r="AF42" s="57"/>
      <c r="AH42" s="57"/>
      <c r="AI42" s="57"/>
      <c r="AJ42" s="57"/>
    </row>
    <row r="43" spans="1:36" x14ac:dyDescent="0.2">
      <c r="A43" s="54" t="s">
        <v>388</v>
      </c>
      <c r="Z43" s="57"/>
      <c r="AB43" s="57"/>
      <c r="AD43" s="57"/>
      <c r="AF43" s="57"/>
      <c r="AH43" s="57"/>
      <c r="AI43" s="57"/>
      <c r="AJ43" s="57"/>
    </row>
    <row r="44" spans="1:36" x14ac:dyDescent="0.2">
      <c r="A44" s="59" t="s">
        <v>545</v>
      </c>
      <c r="B44" s="60" t="s">
        <v>240</v>
      </c>
      <c r="C44" s="79">
        <v>7163.56</v>
      </c>
      <c r="D44" s="80"/>
      <c r="E44" s="79">
        <v>57825.08</v>
      </c>
      <c r="F44" s="80"/>
      <c r="G44" s="79">
        <v>9908.39</v>
      </c>
      <c r="H44" s="79"/>
      <c r="I44" s="79">
        <v>0</v>
      </c>
      <c r="J44" s="79"/>
      <c r="K44" s="79">
        <v>0</v>
      </c>
      <c r="L44" s="79"/>
      <c r="M44" s="79">
        <v>0</v>
      </c>
      <c r="N44" s="79"/>
      <c r="O44" s="79">
        <v>0</v>
      </c>
      <c r="P44" s="79"/>
      <c r="Q44" s="79">
        <f>SUM(M44,O44)</f>
        <v>0</v>
      </c>
      <c r="R44" s="79"/>
      <c r="S44" s="79">
        <v>0</v>
      </c>
      <c r="T44" s="79"/>
      <c r="U44" s="79">
        <v>0</v>
      </c>
      <c r="V44" s="79"/>
      <c r="W44" s="79">
        <v>0</v>
      </c>
      <c r="X44" s="79"/>
      <c r="Y44" s="79">
        <f>SUM(W44,-I44)</f>
        <v>0</v>
      </c>
      <c r="Z44" s="62"/>
      <c r="AA44" s="63" t="str">
        <f>IF(W44=0,"N/A",PRODUCT(Y44,1/I44))</f>
        <v>N/A</v>
      </c>
      <c r="AB44" s="62"/>
      <c r="AC44" s="79">
        <f>SUM(W44,-Q44)</f>
        <v>0</v>
      </c>
      <c r="AD44" s="62"/>
      <c r="AE44" s="63" t="str">
        <f>IF(W44=0,"N/A",PRODUCT(AC44,1/Q44))</f>
        <v>N/A</v>
      </c>
      <c r="AF44" s="57"/>
      <c r="AH44" s="57"/>
      <c r="AI44" s="57"/>
      <c r="AJ44" s="57"/>
    </row>
    <row r="45" spans="1:36" x14ac:dyDescent="0.2">
      <c r="A45" s="55" t="s">
        <v>546</v>
      </c>
      <c r="B45" s="56" t="s">
        <v>241</v>
      </c>
      <c r="C45" s="77">
        <v>90903.01</v>
      </c>
      <c r="E45" s="77">
        <v>90331.26</v>
      </c>
      <c r="G45" s="77">
        <v>59952.52</v>
      </c>
      <c r="I45" s="77">
        <v>60000</v>
      </c>
      <c r="K45" s="77">
        <v>60000</v>
      </c>
      <c r="M45" s="77">
        <v>59753.09</v>
      </c>
      <c r="O45" s="77">
        <v>0</v>
      </c>
      <c r="Q45" s="77">
        <f>SUM(M45,O45)</f>
        <v>59753.09</v>
      </c>
      <c r="S45" s="77">
        <v>160000</v>
      </c>
      <c r="U45" s="77">
        <v>159000</v>
      </c>
      <c r="W45" s="77">
        <v>159000</v>
      </c>
      <c r="Y45" s="77">
        <f>SUM(W45,-I45)</f>
        <v>99000</v>
      </c>
      <c r="Z45" s="57"/>
      <c r="AA45" s="58">
        <f>IF(W45=0,"N/A",PRODUCT(Y45,1/I45))</f>
        <v>1.6500000000000001</v>
      </c>
      <c r="AB45" s="57"/>
      <c r="AC45" s="77">
        <f>SUM(W45,-Q45)</f>
        <v>99246.91</v>
      </c>
      <c r="AD45" s="57"/>
      <c r="AE45" s="58">
        <f>IF(W45=0,"N/A",PRODUCT(AC45,1/Q45))</f>
        <v>1.6609502537860386</v>
      </c>
      <c r="AF45" s="57"/>
      <c r="AG45" s="56" t="s">
        <v>974</v>
      </c>
      <c r="AH45" s="57"/>
      <c r="AI45" s="57"/>
      <c r="AJ45" s="57"/>
    </row>
    <row r="46" spans="1:36" x14ac:dyDescent="0.2">
      <c r="A46" s="59" t="s">
        <v>547</v>
      </c>
      <c r="B46" s="60" t="s">
        <v>243</v>
      </c>
      <c r="C46" s="79">
        <v>79242.48</v>
      </c>
      <c r="D46" s="80"/>
      <c r="E46" s="79">
        <v>0</v>
      </c>
      <c r="F46" s="80"/>
      <c r="G46" s="79">
        <v>0</v>
      </c>
      <c r="H46" s="79"/>
      <c r="I46" s="79">
        <v>0</v>
      </c>
      <c r="J46" s="79"/>
      <c r="K46" s="79">
        <v>0</v>
      </c>
      <c r="L46" s="79"/>
      <c r="M46" s="79">
        <v>0</v>
      </c>
      <c r="N46" s="79"/>
      <c r="O46" s="79">
        <v>0</v>
      </c>
      <c r="P46" s="79"/>
      <c r="Q46" s="79">
        <f>SUM(M46,O46)</f>
        <v>0</v>
      </c>
      <c r="R46" s="79"/>
      <c r="S46" s="79">
        <v>0</v>
      </c>
      <c r="T46" s="79"/>
      <c r="U46" s="79">
        <v>0</v>
      </c>
      <c r="V46" s="79"/>
      <c r="W46" s="79"/>
      <c r="X46" s="79"/>
      <c r="Y46" s="79">
        <f>SUM(W46,-I46)</f>
        <v>0</v>
      </c>
      <c r="Z46" s="62"/>
      <c r="AA46" s="63" t="str">
        <f>IF(W46=0,"N/A",PRODUCT(Y46,1/I46))</f>
        <v>N/A</v>
      </c>
      <c r="AB46" s="62"/>
      <c r="AC46" s="79">
        <f>SUM(W46,-Q46)</f>
        <v>0</v>
      </c>
      <c r="AD46" s="62"/>
      <c r="AE46" s="63" t="str">
        <f>IF(W46=0,"N/A",PRODUCT(AC46,1/Q46))</f>
        <v>N/A</v>
      </c>
      <c r="AF46" s="57"/>
      <c r="AH46" s="57"/>
      <c r="AI46" s="57"/>
      <c r="AJ46" s="57"/>
    </row>
    <row r="47" spans="1:36" x14ac:dyDescent="0.2">
      <c r="A47" s="64" t="s">
        <v>459</v>
      </c>
      <c r="C47" s="81">
        <f>SUM(C44:C46)</f>
        <v>177309.05</v>
      </c>
      <c r="E47" s="81">
        <f>SUM(E44:E46)</f>
        <v>148156.34</v>
      </c>
      <c r="F47" s="77"/>
      <c r="G47" s="81">
        <f>SUM(G44:G46)</f>
        <v>69860.91</v>
      </c>
      <c r="I47" s="81">
        <f>SUM(I44:I46)</f>
        <v>60000</v>
      </c>
      <c r="K47" s="81">
        <f>SUM(K44:K46)</f>
        <v>60000</v>
      </c>
      <c r="M47" s="81">
        <f>SUM(M44:M46)</f>
        <v>59753.09</v>
      </c>
      <c r="O47" s="81">
        <f>SUM(O44:O46)</f>
        <v>0</v>
      </c>
      <c r="Q47" s="81">
        <f>SUM(Q44:Q46)</f>
        <v>59753.09</v>
      </c>
      <c r="S47" s="81">
        <f>SUM(S44:S46)</f>
        <v>160000</v>
      </c>
      <c r="U47" s="81">
        <f>SUM(U44:U46)</f>
        <v>159000</v>
      </c>
      <c r="W47" s="81">
        <f>SUM(W44:W46)</f>
        <v>159000</v>
      </c>
      <c r="Y47" s="81">
        <f>SUM(Y44:Y46)</f>
        <v>99000</v>
      </c>
      <c r="Z47" s="57"/>
      <c r="AA47" s="65">
        <f>IF(W47=0,"N/A",PRODUCT(Y47,1/I47))</f>
        <v>1.6500000000000001</v>
      </c>
      <c r="AB47" s="57"/>
      <c r="AC47" s="81">
        <f>SUM(AC44:AC46)</f>
        <v>99246.91</v>
      </c>
      <c r="AD47" s="57"/>
      <c r="AE47" s="65">
        <f>IF(W47=0,"N/A",PRODUCT(AC47,1/Q47))</f>
        <v>1.6609502537860386</v>
      </c>
      <c r="AF47" s="57"/>
      <c r="AH47" s="57"/>
      <c r="AI47" s="57"/>
      <c r="AJ47" s="57"/>
    </row>
    <row r="48" spans="1:36" x14ac:dyDescent="0.2">
      <c r="Z48" s="57"/>
      <c r="AB48" s="57"/>
      <c r="AD48" s="57"/>
      <c r="AF48" s="57"/>
      <c r="AH48" s="57"/>
      <c r="AI48" s="57"/>
      <c r="AJ48" s="57"/>
    </row>
    <row r="49" spans="1:36" ht="13.5" thickBot="1" x14ac:dyDescent="0.25">
      <c r="A49" s="67" t="s">
        <v>569</v>
      </c>
      <c r="C49" s="83">
        <f>SUM(C13,C25,C31,C41,C47)</f>
        <v>2292284.08</v>
      </c>
      <c r="E49" s="83">
        <f>SUM(E13,E25,E31,E41,E47)</f>
        <v>2398502.2399999998</v>
      </c>
      <c r="G49" s="83">
        <f>SUM(G13,G25,G31,G41,G47)</f>
        <v>2431726.94</v>
      </c>
      <c r="I49" s="83">
        <f>SUM(I13,I25,I31,I41,I47)</f>
        <v>3016050</v>
      </c>
      <c r="K49" s="83">
        <f>SUM(K13,K25,K31,K41,K47)</f>
        <v>3016050</v>
      </c>
      <c r="M49" s="82">
        <f>SUM(M13,M25,M31,M41,M47)</f>
        <v>3029686.4599999995</v>
      </c>
      <c r="O49" s="82">
        <f>SUM(O13,O25,O31,O41,O47)</f>
        <v>0</v>
      </c>
      <c r="Q49" s="83">
        <f>SUM(Q13,Q25,Q31,Q41,Q47)</f>
        <v>3029686.4599999995</v>
      </c>
      <c r="S49" s="82">
        <f>SUM(S13,S25,S31,S41,S47)</f>
        <v>3160750</v>
      </c>
      <c r="U49" s="82">
        <f>SUM(U13,U25,U31,U41,U47)</f>
        <v>3138250</v>
      </c>
      <c r="W49" s="83">
        <f>SUM(W13,W25,W31,W41,W47)</f>
        <v>3160750</v>
      </c>
      <c r="Y49" s="82">
        <f>SUM(Y13,Y25,Y31,Y41,Y47)</f>
        <v>144700</v>
      </c>
      <c r="Z49" s="57"/>
      <c r="AA49" s="125">
        <f>IF(W49=0,"N/A",PRODUCT(Y49,1/I49))</f>
        <v>4.797665821189967E-2</v>
      </c>
      <c r="AB49" s="57"/>
      <c r="AC49" s="82">
        <f>SUM(AC13,AC25,AC31,AC41,AC47)</f>
        <v>131063.54000000007</v>
      </c>
      <c r="AD49" s="57"/>
      <c r="AE49" s="125">
        <f>IF(W49=0,"N/A",PRODUCT(AC49,1/Q49))</f>
        <v>4.3259770187572509E-2</v>
      </c>
      <c r="AF49" s="57"/>
      <c r="AH49" s="57"/>
      <c r="AI49" s="57"/>
      <c r="AJ49" s="57"/>
    </row>
    <row r="50" spans="1:36" ht="13.5" thickTop="1" x14ac:dyDescent="0.2">
      <c r="Z50" s="57"/>
      <c r="AB50" s="57"/>
      <c r="AD50" s="57"/>
      <c r="AF50" s="57"/>
      <c r="AH50" s="57"/>
      <c r="AI50" s="57"/>
      <c r="AJ50" s="57"/>
    </row>
    <row r="51" spans="1:36" x14ac:dyDescent="0.2">
      <c r="Z51" s="57"/>
      <c r="AB51" s="57"/>
      <c r="AD51" s="57"/>
      <c r="AF51" s="57"/>
      <c r="AH51" s="57"/>
      <c r="AI51" s="57"/>
      <c r="AJ51" s="57"/>
    </row>
    <row r="52" spans="1:36" x14ac:dyDescent="0.2">
      <c r="Z52" s="57"/>
      <c r="AB52" s="57"/>
      <c r="AD52" s="57"/>
      <c r="AF52" s="57"/>
      <c r="AH52" s="57"/>
      <c r="AI52" s="57"/>
      <c r="AJ52" s="57"/>
    </row>
    <row r="53" spans="1:36" x14ac:dyDescent="0.2">
      <c r="Z53" s="57"/>
      <c r="AB53" s="57"/>
      <c r="AD53" s="57"/>
      <c r="AF53" s="57"/>
      <c r="AH53" s="57"/>
      <c r="AI53" s="57"/>
      <c r="AJ53" s="57"/>
    </row>
    <row r="54" spans="1:36" x14ac:dyDescent="0.2">
      <c r="Z54" s="57"/>
      <c r="AB54" s="57"/>
      <c r="AD54" s="57"/>
      <c r="AF54" s="57"/>
      <c r="AH54" s="57"/>
      <c r="AI54" s="57"/>
      <c r="AJ54" s="57"/>
    </row>
    <row r="55" spans="1:36" x14ac:dyDescent="0.2">
      <c r="Z55" s="57"/>
      <c r="AB55" s="57"/>
      <c r="AD55" s="57"/>
      <c r="AF55" s="57"/>
      <c r="AH55" s="57"/>
      <c r="AI55" s="57"/>
      <c r="AJ55" s="57"/>
    </row>
    <row r="56" spans="1:36" x14ac:dyDescent="0.2">
      <c r="Z56" s="57"/>
      <c r="AB56" s="57"/>
      <c r="AD56" s="57"/>
      <c r="AF56" s="57"/>
      <c r="AH56" s="57"/>
      <c r="AI56" s="57"/>
      <c r="AJ56" s="57"/>
    </row>
    <row r="57" spans="1:36" x14ac:dyDescent="0.2">
      <c r="Z57" s="57"/>
      <c r="AB57" s="57"/>
      <c r="AD57" s="57"/>
      <c r="AF57" s="57"/>
      <c r="AH57" s="57"/>
      <c r="AI57" s="57"/>
      <c r="AJ57" s="57"/>
    </row>
    <row r="58" spans="1:36" x14ac:dyDescent="0.2">
      <c r="Z58" s="57"/>
      <c r="AB58" s="57"/>
      <c r="AD58" s="57"/>
      <c r="AF58" s="57"/>
      <c r="AH58" s="57"/>
      <c r="AI58" s="57"/>
      <c r="AJ58" s="57"/>
    </row>
    <row r="59" spans="1:36" x14ac:dyDescent="0.2">
      <c r="Z59" s="57"/>
      <c r="AB59" s="57"/>
      <c r="AD59" s="57"/>
      <c r="AF59" s="57"/>
      <c r="AH59" s="57"/>
      <c r="AI59" s="57"/>
      <c r="AJ59" s="57"/>
    </row>
    <row r="60" spans="1:36" x14ac:dyDescent="0.2">
      <c r="Z60" s="57"/>
      <c r="AB60" s="57"/>
      <c r="AD60" s="57"/>
      <c r="AF60" s="57"/>
      <c r="AH60" s="57"/>
      <c r="AI60" s="57"/>
      <c r="AJ60" s="57"/>
    </row>
    <row r="61" spans="1:36" x14ac:dyDescent="0.2">
      <c r="Z61" s="57"/>
      <c r="AB61" s="57"/>
      <c r="AD61" s="57"/>
      <c r="AF61" s="57"/>
      <c r="AH61" s="57"/>
      <c r="AI61" s="57"/>
      <c r="AJ61" s="57"/>
    </row>
    <row r="62" spans="1:36" x14ac:dyDescent="0.2">
      <c r="Z62" s="57"/>
      <c r="AB62" s="57"/>
      <c r="AD62" s="57"/>
      <c r="AF62" s="57"/>
      <c r="AH62" s="57"/>
      <c r="AI62" s="57"/>
      <c r="AJ62" s="57"/>
    </row>
    <row r="63" spans="1:36" x14ac:dyDescent="0.2">
      <c r="Z63" s="57"/>
      <c r="AB63" s="57"/>
      <c r="AD63" s="57"/>
      <c r="AF63" s="57"/>
      <c r="AH63" s="57"/>
      <c r="AI63" s="57"/>
      <c r="AJ63" s="57"/>
    </row>
    <row r="64" spans="1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  <row r="79" spans="26:36" x14ac:dyDescent="0.2">
      <c r="Z79" s="57"/>
      <c r="AB79" s="57"/>
      <c r="AD79" s="57"/>
      <c r="AF79" s="57"/>
      <c r="AH79" s="57"/>
      <c r="AI79" s="57"/>
      <c r="AJ79" s="57"/>
    </row>
    <row r="80" spans="26:36" x14ac:dyDescent="0.2">
      <c r="Z80" s="57"/>
      <c r="AB80" s="57"/>
      <c r="AD80" s="57"/>
      <c r="AF80" s="57"/>
      <c r="AH80" s="57"/>
      <c r="AI80" s="57"/>
      <c r="AJ80" s="57"/>
    </row>
    <row r="81" spans="26:36" x14ac:dyDescent="0.2">
      <c r="Z81" s="57"/>
      <c r="AB81" s="57"/>
      <c r="AD81" s="57"/>
      <c r="AF81" s="57"/>
      <c r="AH81" s="57"/>
      <c r="AI81" s="57"/>
      <c r="AJ81" s="57"/>
    </row>
    <row r="82" spans="26:36" x14ac:dyDescent="0.2">
      <c r="Z82" s="57"/>
      <c r="AB82" s="57"/>
      <c r="AD82" s="57"/>
      <c r="AF82" s="57"/>
      <c r="AH82" s="57"/>
      <c r="AI82" s="57"/>
      <c r="AJ82" s="57"/>
    </row>
    <row r="83" spans="26:36" x14ac:dyDescent="0.2">
      <c r="Z83" s="57"/>
      <c r="AB83" s="57"/>
      <c r="AD83" s="57"/>
      <c r="AF83" s="57"/>
      <c r="AH83" s="57"/>
      <c r="AI83" s="57"/>
      <c r="AJ83" s="57"/>
    </row>
    <row r="84" spans="26:36" x14ac:dyDescent="0.2">
      <c r="Z84" s="57"/>
      <c r="AB84" s="57"/>
      <c r="AD84" s="57"/>
      <c r="AF84" s="57"/>
      <c r="AH84" s="57"/>
      <c r="AI84" s="57"/>
      <c r="AJ84" s="57"/>
    </row>
    <row r="85" spans="26:36" x14ac:dyDescent="0.2">
      <c r="Z85" s="57"/>
      <c r="AB85" s="57"/>
      <c r="AD85" s="57"/>
      <c r="AF85" s="57"/>
      <c r="AH85" s="57"/>
      <c r="AI85" s="57"/>
      <c r="AJ85" s="57"/>
    </row>
    <row r="86" spans="26:36" x14ac:dyDescent="0.2">
      <c r="Z86" s="57"/>
      <c r="AB86" s="57"/>
      <c r="AD86" s="57"/>
      <c r="AF86" s="57"/>
      <c r="AH86" s="57"/>
      <c r="AI86" s="57"/>
      <c r="AJ86" s="57"/>
    </row>
    <row r="87" spans="26:36" x14ac:dyDescent="0.2">
      <c r="Z87" s="57"/>
      <c r="AB87" s="57"/>
      <c r="AD87" s="57"/>
      <c r="AF87" s="57"/>
      <c r="AH87" s="57"/>
      <c r="AI87" s="57"/>
      <c r="AJ87" s="57"/>
    </row>
    <row r="88" spans="26:36" x14ac:dyDescent="0.2">
      <c r="Z88" s="57"/>
      <c r="AB88" s="57"/>
      <c r="AD88" s="57"/>
      <c r="AF88" s="57"/>
      <c r="AH88" s="57"/>
      <c r="AI88" s="57"/>
      <c r="AJ88" s="57"/>
    </row>
    <row r="89" spans="26:36" x14ac:dyDescent="0.2">
      <c r="Z89" s="57"/>
      <c r="AB89" s="57"/>
      <c r="AD89" s="57"/>
      <c r="AF89" s="57"/>
      <c r="AH89" s="57"/>
      <c r="AI89" s="57"/>
      <c r="AJ89" s="57"/>
    </row>
    <row r="90" spans="26:36" x14ac:dyDescent="0.2">
      <c r="Z90" s="57"/>
      <c r="AB90" s="57"/>
      <c r="AD90" s="57"/>
      <c r="AF90" s="57"/>
      <c r="AH90" s="57"/>
      <c r="AI90" s="57"/>
      <c r="AJ90" s="57"/>
    </row>
    <row r="91" spans="26:36" x14ac:dyDescent="0.2">
      <c r="Z91" s="57"/>
      <c r="AB91" s="57"/>
      <c r="AD91" s="57"/>
      <c r="AF91" s="57"/>
      <c r="AH91" s="57"/>
      <c r="AI91" s="57"/>
      <c r="AJ91" s="57"/>
    </row>
    <row r="92" spans="26:36" x14ac:dyDescent="0.2">
      <c r="Z92" s="57"/>
      <c r="AB92" s="57"/>
      <c r="AD92" s="57"/>
      <c r="AF92" s="57"/>
      <c r="AH92" s="57"/>
      <c r="AI92" s="57"/>
      <c r="AJ92" s="57"/>
    </row>
    <row r="93" spans="26:36" x14ac:dyDescent="0.2">
      <c r="Z93" s="57"/>
      <c r="AB93" s="57"/>
      <c r="AD93" s="57"/>
      <c r="AF93" s="57"/>
      <c r="AH93" s="57"/>
      <c r="AI93" s="57"/>
      <c r="AJ93" s="57"/>
    </row>
    <row r="94" spans="26:36" x14ac:dyDescent="0.2">
      <c r="Z94" s="57"/>
      <c r="AB94" s="57"/>
      <c r="AD94" s="57"/>
      <c r="AF94" s="57"/>
      <c r="AH94" s="57"/>
      <c r="AI94" s="57"/>
      <c r="AJ94" s="57"/>
    </row>
    <row r="95" spans="26:36" x14ac:dyDescent="0.2">
      <c r="Z95" s="57"/>
      <c r="AB95" s="57"/>
      <c r="AD95" s="57"/>
      <c r="AF95" s="57"/>
      <c r="AH95" s="57"/>
      <c r="AI95" s="57"/>
      <c r="AJ95" s="57"/>
    </row>
    <row r="96" spans="26:36" x14ac:dyDescent="0.2">
      <c r="Z96" s="57"/>
      <c r="AB96" s="57"/>
      <c r="AD96" s="57"/>
      <c r="AF96" s="57"/>
      <c r="AH96" s="57"/>
      <c r="AI96" s="57"/>
      <c r="AJ96" s="57"/>
    </row>
    <row r="97" spans="26:36" x14ac:dyDescent="0.2">
      <c r="Z97" s="57"/>
      <c r="AB97" s="57"/>
      <c r="AD97" s="57"/>
      <c r="AF97" s="57"/>
      <c r="AH97" s="57"/>
      <c r="AI97" s="57"/>
      <c r="AJ97" s="57"/>
    </row>
    <row r="98" spans="26:36" x14ac:dyDescent="0.2">
      <c r="Z98" s="57"/>
      <c r="AB98" s="57"/>
      <c r="AD98" s="57"/>
      <c r="AF98" s="57"/>
      <c r="AH98" s="57"/>
      <c r="AI98" s="57"/>
      <c r="AJ98" s="57"/>
    </row>
    <row r="99" spans="26:36" x14ac:dyDescent="0.2">
      <c r="Z99" s="57"/>
      <c r="AB99" s="57"/>
      <c r="AD99" s="57"/>
      <c r="AF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H102" s="57"/>
      <c r="AI102" s="57"/>
      <c r="AJ102" s="57"/>
    </row>
    <row r="103" spans="26:36" x14ac:dyDescent="0.2">
      <c r="Z103" s="57"/>
      <c r="AB103" s="57"/>
      <c r="AD103" s="57"/>
      <c r="AF103" s="57"/>
      <c r="AH103" s="57"/>
      <c r="AI103" s="57"/>
      <c r="AJ103" s="57"/>
    </row>
    <row r="104" spans="26:36" x14ac:dyDescent="0.2">
      <c r="Z104" s="57"/>
      <c r="AB104" s="57"/>
      <c r="AD104" s="57"/>
      <c r="AF104" s="57"/>
      <c r="AH104" s="57"/>
      <c r="AI104" s="57"/>
      <c r="AJ104" s="57"/>
    </row>
    <row r="105" spans="26:36" x14ac:dyDescent="0.2">
      <c r="Z105" s="57"/>
      <c r="AB105" s="57"/>
      <c r="AD105" s="57"/>
      <c r="AF105" s="57"/>
      <c r="AH105" s="57"/>
      <c r="AI105" s="57"/>
      <c r="AJ105" s="57"/>
    </row>
    <row r="106" spans="26:36" x14ac:dyDescent="0.2">
      <c r="Z106" s="57"/>
      <c r="AB106" s="57"/>
      <c r="AD106" s="57"/>
      <c r="AF106" s="57"/>
      <c r="AH106" s="57"/>
      <c r="AI106" s="57"/>
      <c r="AJ106" s="57"/>
    </row>
    <row r="107" spans="26:36" x14ac:dyDescent="0.2">
      <c r="Z107" s="57"/>
      <c r="AB107" s="57"/>
      <c r="AD107" s="57"/>
      <c r="AF107" s="57"/>
      <c r="AH107" s="57"/>
      <c r="AI107" s="57"/>
      <c r="AJ107" s="57"/>
    </row>
    <row r="108" spans="26:36" x14ac:dyDescent="0.2">
      <c r="Z108" s="57"/>
      <c r="AB108" s="57"/>
      <c r="AD108" s="57"/>
      <c r="AF108" s="57"/>
      <c r="AH108" s="57"/>
      <c r="AI108" s="57"/>
      <c r="AJ108" s="57"/>
    </row>
    <row r="109" spans="26:36" x14ac:dyDescent="0.2">
      <c r="Z109" s="57"/>
      <c r="AB109" s="57"/>
      <c r="AD109" s="57"/>
      <c r="AF109" s="57"/>
      <c r="AH109" s="57"/>
      <c r="AI109" s="57"/>
      <c r="AJ109" s="57"/>
    </row>
    <row r="110" spans="26:36" x14ac:dyDescent="0.2">
      <c r="Z110" s="57"/>
      <c r="AB110" s="57"/>
      <c r="AD110" s="57"/>
      <c r="AF110" s="57"/>
      <c r="AH110" s="57"/>
      <c r="AI110" s="57"/>
      <c r="AJ110" s="57"/>
    </row>
    <row r="111" spans="26:36" x14ac:dyDescent="0.2">
      <c r="Z111" s="57"/>
      <c r="AB111" s="57"/>
      <c r="AD111" s="57"/>
      <c r="AF111" s="57"/>
      <c r="AH111" s="57"/>
      <c r="AI111" s="57"/>
      <c r="AJ111" s="57"/>
    </row>
    <row r="112" spans="26:36" x14ac:dyDescent="0.2">
      <c r="Z112" s="57"/>
      <c r="AB112" s="57"/>
      <c r="AD112" s="57"/>
      <c r="AF112" s="57"/>
      <c r="AH112" s="57"/>
      <c r="AI112" s="57"/>
      <c r="AJ112" s="57"/>
    </row>
    <row r="113" spans="26:36" x14ac:dyDescent="0.2">
      <c r="Z113" s="57"/>
      <c r="AB113" s="57"/>
      <c r="AD113" s="57"/>
      <c r="AF113" s="57"/>
      <c r="AH113" s="57"/>
      <c r="AI113" s="57"/>
      <c r="AJ113" s="57"/>
    </row>
    <row r="114" spans="26:36" x14ac:dyDescent="0.2">
      <c r="Z114" s="57"/>
      <c r="AB114" s="57"/>
      <c r="AD114" s="57"/>
      <c r="AF114" s="57"/>
      <c r="AH114" s="57"/>
      <c r="AI114" s="57"/>
      <c r="AJ114" s="57"/>
    </row>
    <row r="115" spans="26:36" x14ac:dyDescent="0.2">
      <c r="Z115" s="57"/>
      <c r="AB115" s="57"/>
      <c r="AD115" s="57"/>
      <c r="AF115" s="57"/>
      <c r="AH115" s="57"/>
      <c r="AI115" s="57"/>
      <c r="AJ115" s="57"/>
    </row>
    <row r="116" spans="26:36" x14ac:dyDescent="0.2">
      <c r="Z116" s="57"/>
      <c r="AB116" s="57"/>
      <c r="AD116" s="57"/>
      <c r="AF116" s="57"/>
      <c r="AH116" s="57"/>
      <c r="AI116" s="57"/>
      <c r="AJ116" s="57"/>
    </row>
    <row r="117" spans="26:36" x14ac:dyDescent="0.2">
      <c r="Z117" s="57"/>
      <c r="AB117" s="57"/>
      <c r="AD117" s="57"/>
      <c r="AF117" s="57"/>
      <c r="AH117" s="57"/>
      <c r="AI117" s="57"/>
      <c r="AJ117" s="57"/>
    </row>
  </sheetData>
  <pageMargins left="0.25" right="0.25" top="0.75" bottom="0.75" header="0.3" footer="0.3"/>
  <pageSetup scale="8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FA78-A6DD-4D0B-A53B-FD4428ABDC57}">
  <sheetPr>
    <tabColor rgb="FF92D050"/>
    <pageSetUpPr fitToPage="1"/>
  </sheetPr>
  <dimension ref="A1:AJ10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 x14ac:dyDescent="0.2"/>
  <cols>
    <col min="1" max="1" width="17.7109375" style="56" customWidth="1"/>
    <col min="2" max="2" width="28.7109375" style="56" customWidth="1"/>
    <col min="3" max="3" width="11.7109375" style="77" customWidth="1"/>
    <col min="4" max="4" width="1.7109375" style="78" customWidth="1"/>
    <col min="5" max="5" width="11.7109375" style="77" customWidth="1"/>
    <col min="6" max="6" width="1.7109375" style="78" customWidth="1"/>
    <col min="7" max="7" width="11.7109375" style="77" customWidth="1"/>
    <col min="8" max="8" width="1.7109375" style="77" customWidth="1"/>
    <col min="9" max="9" width="11.7109375" style="77" customWidth="1"/>
    <col min="10" max="10" width="1.7109375" style="77" customWidth="1"/>
    <col min="11" max="11" width="11.7109375" style="77" customWidth="1"/>
    <col min="12" max="12" width="1.7109375" style="77" customWidth="1"/>
    <col min="13" max="13" width="11.7109375" style="77" customWidth="1"/>
    <col min="14" max="14" width="1.7109375" style="77" customWidth="1"/>
    <col min="15" max="15" width="11.7109375" style="77" customWidth="1"/>
    <col min="16" max="16" width="1.7109375" style="77" customWidth="1"/>
    <col min="17" max="17" width="11.7109375" style="77" customWidth="1"/>
    <col min="18" max="18" width="1.7109375" style="77" customWidth="1"/>
    <col min="19" max="19" width="11.7109375" style="77" customWidth="1"/>
    <col min="20" max="20" width="1.7109375" style="77" customWidth="1"/>
    <col min="21" max="21" width="11.7109375" style="77" customWidth="1"/>
    <col min="22" max="22" width="1.7109375" style="77" customWidth="1"/>
    <col min="23" max="23" width="11.7109375" style="77" customWidth="1"/>
    <col min="24" max="24" width="1.7109375" style="77" customWidth="1"/>
    <col min="25" max="25" width="11.7109375" style="77" customWidth="1"/>
    <col min="26" max="26" width="1.7109375" style="56" customWidth="1"/>
    <col min="27" max="27" width="11.7109375" style="58" customWidth="1"/>
    <col min="28" max="28" width="1.7109375" style="56" customWidth="1"/>
    <col min="29" max="29" width="11.7109375" style="77" customWidth="1"/>
    <col min="30" max="30" width="1.7109375" style="56" customWidth="1"/>
    <col min="31" max="31" width="11.7109375" style="58" customWidth="1"/>
    <col min="32" max="32" width="1.7109375" style="56" customWidth="1"/>
    <col min="33" max="33" width="70.7109375" style="56" customWidth="1"/>
    <col min="34" max="16384" width="9.140625" style="56"/>
  </cols>
  <sheetData>
    <row r="1" spans="1:36" s="46" customFormat="1" x14ac:dyDescent="0.2">
      <c r="C1" s="108"/>
      <c r="D1" s="78"/>
      <c r="E1" s="108"/>
      <c r="F1" s="78"/>
      <c r="G1" s="108"/>
      <c r="H1" s="78"/>
      <c r="I1" s="108" t="s">
        <v>4</v>
      </c>
      <c r="J1" s="78"/>
      <c r="K1" s="108" t="s">
        <v>4</v>
      </c>
      <c r="L1" s="78"/>
      <c r="M1" s="107" t="s">
        <v>4</v>
      </c>
      <c r="N1" s="78"/>
      <c r="O1" s="107" t="s">
        <v>4</v>
      </c>
      <c r="P1" s="78"/>
      <c r="Q1" s="108" t="s">
        <v>4</v>
      </c>
      <c r="R1" s="78"/>
      <c r="S1" s="107" t="s">
        <v>10</v>
      </c>
      <c r="T1" s="78"/>
      <c r="U1" s="107" t="s">
        <v>10</v>
      </c>
      <c r="V1" s="78"/>
      <c r="W1" s="108" t="s">
        <v>10</v>
      </c>
      <c r="X1" s="78"/>
      <c r="Y1" s="107" t="s">
        <v>1067</v>
      </c>
      <c r="Z1" s="48"/>
      <c r="AA1" s="125" t="s">
        <v>1070</v>
      </c>
      <c r="AC1" s="107" t="s">
        <v>1067</v>
      </c>
      <c r="AE1" s="125" t="s">
        <v>1070</v>
      </c>
      <c r="AF1" s="48"/>
      <c r="AG1" s="46" t="s">
        <v>952</v>
      </c>
    </row>
    <row r="2" spans="1:36" s="46" customFormat="1" x14ac:dyDescent="0.2">
      <c r="C2" s="108" t="s">
        <v>0</v>
      </c>
      <c r="D2" s="78"/>
      <c r="E2" s="108" t="s">
        <v>1</v>
      </c>
      <c r="F2" s="78"/>
      <c r="G2" s="108" t="s">
        <v>3</v>
      </c>
      <c r="H2" s="78"/>
      <c r="I2" s="108" t="s">
        <v>5</v>
      </c>
      <c r="J2" s="78"/>
      <c r="K2" s="108" t="s">
        <v>7</v>
      </c>
      <c r="L2" s="78"/>
      <c r="M2" s="107" t="s">
        <v>1527</v>
      </c>
      <c r="N2" s="78"/>
      <c r="O2" s="107" t="s">
        <v>590</v>
      </c>
      <c r="P2" s="78"/>
      <c r="Q2" s="108" t="s">
        <v>8</v>
      </c>
      <c r="R2" s="78"/>
      <c r="S2" s="107" t="s">
        <v>11</v>
      </c>
      <c r="T2" s="78"/>
      <c r="U2" s="107" t="s">
        <v>11</v>
      </c>
      <c r="V2" s="78"/>
      <c r="W2" s="108" t="s">
        <v>11</v>
      </c>
      <c r="X2" s="78"/>
      <c r="Y2" s="107" t="s">
        <v>1068</v>
      </c>
      <c r="Z2" s="48"/>
      <c r="AA2" s="125" t="s">
        <v>1068</v>
      </c>
      <c r="AC2" s="107" t="s">
        <v>1068</v>
      </c>
      <c r="AE2" s="125" t="s">
        <v>1068</v>
      </c>
      <c r="AF2" s="48"/>
    </row>
    <row r="3" spans="1:36" s="46" customFormat="1" x14ac:dyDescent="0.2">
      <c r="C3" s="108" t="s">
        <v>2</v>
      </c>
      <c r="D3" s="78"/>
      <c r="E3" s="108" t="s">
        <v>2</v>
      </c>
      <c r="F3" s="78"/>
      <c r="G3" s="108" t="s">
        <v>2</v>
      </c>
      <c r="H3" s="78"/>
      <c r="I3" s="108" t="s">
        <v>6</v>
      </c>
      <c r="J3" s="78"/>
      <c r="K3" s="108" t="s">
        <v>6</v>
      </c>
      <c r="L3" s="78"/>
      <c r="M3" s="107" t="s">
        <v>589</v>
      </c>
      <c r="N3" s="78"/>
      <c r="O3" s="107" t="s">
        <v>8</v>
      </c>
      <c r="P3" s="78"/>
      <c r="Q3" s="108" t="s">
        <v>9</v>
      </c>
      <c r="R3" s="78"/>
      <c r="S3" s="107" t="s">
        <v>945</v>
      </c>
      <c r="T3" s="78"/>
      <c r="U3" s="107" t="s">
        <v>946</v>
      </c>
      <c r="V3" s="78"/>
      <c r="W3" s="108" t="s">
        <v>6</v>
      </c>
      <c r="X3" s="78"/>
      <c r="Y3" s="107" t="s">
        <v>1069</v>
      </c>
      <c r="Z3" s="48"/>
      <c r="AA3" s="125" t="s">
        <v>1069</v>
      </c>
      <c r="AC3" s="107" t="s">
        <v>1071</v>
      </c>
      <c r="AE3" s="125" t="s">
        <v>1071</v>
      </c>
      <c r="AF3" s="48"/>
    </row>
    <row r="4" spans="1:36" s="51" customFormat="1" x14ac:dyDescent="0.2">
      <c r="A4" s="50" t="s">
        <v>548</v>
      </c>
      <c r="C4" s="106"/>
      <c r="D4" s="78"/>
      <c r="E4" s="106"/>
      <c r="F4" s="7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52"/>
      <c r="AA4" s="58"/>
      <c r="AB4" s="52"/>
      <c r="AC4" s="106"/>
      <c r="AD4" s="52"/>
      <c r="AE4" s="58"/>
      <c r="AF4" s="52"/>
      <c r="AH4" s="52"/>
      <c r="AI4" s="52"/>
      <c r="AJ4" s="52"/>
    </row>
    <row r="5" spans="1:36" s="51" customFormat="1" x14ac:dyDescent="0.2">
      <c r="A5" s="54" t="s">
        <v>38</v>
      </c>
      <c r="C5" s="106"/>
      <c r="D5" s="78"/>
      <c r="E5" s="106"/>
      <c r="F5" s="78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52"/>
      <c r="AA5" s="58"/>
      <c r="AB5" s="52"/>
      <c r="AC5" s="106"/>
      <c r="AD5" s="52"/>
      <c r="AE5" s="58"/>
      <c r="AF5" s="52"/>
      <c r="AH5" s="52"/>
      <c r="AI5" s="52"/>
      <c r="AJ5" s="52"/>
    </row>
    <row r="6" spans="1:36" x14ac:dyDescent="0.2">
      <c r="A6" s="55" t="s">
        <v>549</v>
      </c>
      <c r="B6" s="56" t="s">
        <v>219</v>
      </c>
      <c r="C6" s="77">
        <v>44384.67</v>
      </c>
      <c r="E6" s="77">
        <v>50112.61</v>
      </c>
      <c r="G6" s="77">
        <v>56407.47</v>
      </c>
      <c r="I6" s="77">
        <v>72450</v>
      </c>
      <c r="K6" s="77">
        <v>71450</v>
      </c>
      <c r="M6" s="77">
        <v>64358.91</v>
      </c>
      <c r="O6" s="77">
        <f>PRODUCT(M6,0/12)</f>
        <v>0</v>
      </c>
      <c r="Q6" s="77">
        <f t="shared" ref="Q6:Q13" si="0">SUM(M6,O6)</f>
        <v>64358.91</v>
      </c>
      <c r="S6" s="77">
        <v>55000</v>
      </c>
      <c r="U6" s="77">
        <v>75000</v>
      </c>
      <c r="W6" s="77">
        <v>55000</v>
      </c>
      <c r="Y6" s="77">
        <f t="shared" ref="Y6:Y13" si="1">SUM(W6,-I6)</f>
        <v>-17450</v>
      </c>
      <c r="Z6" s="57"/>
      <c r="AA6" s="58">
        <f>IF(W6=0,"N/A",PRODUCT(Y6,1/I6))</f>
        <v>-0.24085576259489302</v>
      </c>
      <c r="AB6" s="57"/>
      <c r="AC6" s="77">
        <f t="shared" ref="AC6:AC13" si="2">SUM(W6,-Q6)</f>
        <v>-9358.9100000000035</v>
      </c>
      <c r="AD6" s="57"/>
      <c r="AE6" s="58">
        <f>IF(W6=0,"N/A",PRODUCT(AC6,1/Q6))</f>
        <v>-0.14541747211069925</v>
      </c>
      <c r="AF6" s="57"/>
      <c r="AG6" s="56" t="s">
        <v>975</v>
      </c>
      <c r="AH6" s="57"/>
      <c r="AI6" s="57"/>
      <c r="AJ6" s="57"/>
    </row>
    <row r="7" spans="1:36" x14ac:dyDescent="0.2">
      <c r="A7" s="59" t="s">
        <v>550</v>
      </c>
      <c r="B7" s="60" t="s">
        <v>220</v>
      </c>
      <c r="C7" s="79">
        <v>1009.5</v>
      </c>
      <c r="D7" s="80"/>
      <c r="E7" s="79">
        <v>1392.93</v>
      </c>
      <c r="F7" s="80"/>
      <c r="G7" s="79">
        <v>788.16</v>
      </c>
      <c r="H7" s="79"/>
      <c r="I7" s="79">
        <v>1000</v>
      </c>
      <c r="J7" s="79"/>
      <c r="K7" s="79">
        <v>2000</v>
      </c>
      <c r="L7" s="79"/>
      <c r="M7" s="79">
        <v>2079.96</v>
      </c>
      <c r="N7" s="79"/>
      <c r="O7" s="79">
        <f>PRODUCT(M7,0/12)</f>
        <v>0</v>
      </c>
      <c r="P7" s="79"/>
      <c r="Q7" s="79">
        <f t="shared" si="0"/>
        <v>2079.96</v>
      </c>
      <c r="R7" s="79"/>
      <c r="S7" s="79">
        <v>1000</v>
      </c>
      <c r="T7" s="79"/>
      <c r="U7" s="79">
        <v>1500</v>
      </c>
      <c r="V7" s="79"/>
      <c r="W7" s="79">
        <v>1500</v>
      </c>
      <c r="X7" s="79"/>
      <c r="Y7" s="79">
        <f t="shared" si="1"/>
        <v>500</v>
      </c>
      <c r="Z7" s="62"/>
      <c r="AA7" s="63">
        <f t="shared" ref="AA7:AA14" si="3">IF(W7=0,"N/A",PRODUCT(Y7,1/I7))</f>
        <v>0.5</v>
      </c>
      <c r="AB7" s="62"/>
      <c r="AC7" s="79">
        <f t="shared" si="2"/>
        <v>-579.96</v>
      </c>
      <c r="AD7" s="62"/>
      <c r="AE7" s="63">
        <f t="shared" ref="AE7:AE14" si="4">IF(W7=0,"N/A",PRODUCT(AC7,1/Q7))</f>
        <v>-0.27883228523625453</v>
      </c>
      <c r="AF7" s="57"/>
      <c r="AH7" s="57"/>
      <c r="AI7" s="57"/>
      <c r="AJ7" s="57"/>
    </row>
    <row r="8" spans="1:36" x14ac:dyDescent="0.2">
      <c r="A8" s="55" t="s">
        <v>955</v>
      </c>
      <c r="B8" s="56" t="s">
        <v>422</v>
      </c>
      <c r="C8" s="77">
        <v>0</v>
      </c>
      <c r="E8" s="77">
        <v>0</v>
      </c>
      <c r="G8" s="77">
        <v>0</v>
      </c>
      <c r="I8" s="77">
        <v>0</v>
      </c>
      <c r="K8" s="77">
        <v>0</v>
      </c>
      <c r="M8" s="77">
        <v>0</v>
      </c>
      <c r="O8" s="77">
        <f>PRODUCT(M8,0/12)</f>
        <v>0</v>
      </c>
      <c r="Q8" s="77">
        <f t="shared" si="0"/>
        <v>0</v>
      </c>
      <c r="S8" s="77">
        <v>21000</v>
      </c>
      <c r="U8" s="77">
        <v>0</v>
      </c>
      <c r="W8" s="77">
        <v>21000</v>
      </c>
      <c r="Y8" s="77">
        <f t="shared" si="1"/>
        <v>21000</v>
      </c>
      <c r="Z8" s="57"/>
      <c r="AA8" s="58" t="e">
        <f t="shared" si="3"/>
        <v>#DIV/0!</v>
      </c>
      <c r="AB8" s="57"/>
      <c r="AC8" s="77">
        <f t="shared" si="2"/>
        <v>21000</v>
      </c>
      <c r="AD8" s="57"/>
      <c r="AE8" s="58" t="e">
        <f t="shared" si="4"/>
        <v>#DIV/0!</v>
      </c>
      <c r="AF8" s="57"/>
      <c r="AG8" s="56" t="s">
        <v>1090</v>
      </c>
      <c r="AH8" s="57"/>
      <c r="AI8" s="57"/>
      <c r="AJ8" s="57"/>
    </row>
    <row r="9" spans="1:36" x14ac:dyDescent="0.2">
      <c r="A9" s="59" t="s">
        <v>551</v>
      </c>
      <c r="B9" s="60" t="s">
        <v>286</v>
      </c>
      <c r="C9" s="79">
        <v>3149.28</v>
      </c>
      <c r="D9" s="80"/>
      <c r="E9" s="79">
        <v>3682.45</v>
      </c>
      <c r="F9" s="80"/>
      <c r="G9" s="79">
        <v>4023.5</v>
      </c>
      <c r="H9" s="79"/>
      <c r="I9" s="79">
        <v>5600</v>
      </c>
      <c r="J9" s="79"/>
      <c r="K9" s="79">
        <v>5600</v>
      </c>
      <c r="L9" s="79"/>
      <c r="M9" s="79">
        <v>4721.08</v>
      </c>
      <c r="N9" s="79"/>
      <c r="O9" s="79">
        <f>PRODUCT(M9,0/12)</f>
        <v>0</v>
      </c>
      <c r="P9" s="79"/>
      <c r="Q9" s="79">
        <f t="shared" si="0"/>
        <v>4721.08</v>
      </c>
      <c r="R9" s="79"/>
      <c r="S9" s="79">
        <v>6000</v>
      </c>
      <c r="T9" s="79"/>
      <c r="U9" s="79">
        <v>5800</v>
      </c>
      <c r="V9" s="79"/>
      <c r="W9" s="79">
        <v>6000</v>
      </c>
      <c r="X9" s="79"/>
      <c r="Y9" s="79">
        <f t="shared" si="1"/>
        <v>400</v>
      </c>
      <c r="Z9" s="62"/>
      <c r="AA9" s="63">
        <f t="shared" si="3"/>
        <v>7.1428571428571425E-2</v>
      </c>
      <c r="AB9" s="62"/>
      <c r="AC9" s="79">
        <f t="shared" si="2"/>
        <v>1278.92</v>
      </c>
      <c r="AD9" s="62"/>
      <c r="AE9" s="63">
        <f t="shared" si="4"/>
        <v>0.27089564252247367</v>
      </c>
      <c r="AF9" s="57"/>
      <c r="AH9" s="57"/>
      <c r="AI9" s="57"/>
      <c r="AJ9" s="57"/>
    </row>
    <row r="10" spans="1:36" x14ac:dyDescent="0.2">
      <c r="A10" s="55" t="s">
        <v>552</v>
      </c>
      <c r="B10" s="56" t="s">
        <v>221</v>
      </c>
      <c r="C10" s="77">
        <v>13255.74</v>
      </c>
      <c r="E10" s="77">
        <v>15170.52</v>
      </c>
      <c r="G10" s="77">
        <v>15065.85</v>
      </c>
      <c r="I10" s="77">
        <v>15500</v>
      </c>
      <c r="K10" s="77">
        <v>15500</v>
      </c>
      <c r="M10" s="77">
        <v>15014.01</v>
      </c>
      <c r="O10" s="77">
        <f>PRODUCT(M10,0/12)</f>
        <v>0</v>
      </c>
      <c r="Q10" s="77">
        <f t="shared" si="0"/>
        <v>15014.01</v>
      </c>
      <c r="S10" s="77">
        <v>17000</v>
      </c>
      <c r="U10" s="77">
        <v>17000</v>
      </c>
      <c r="W10" s="77">
        <v>17000</v>
      </c>
      <c r="Y10" s="77">
        <f t="shared" si="1"/>
        <v>1500</v>
      </c>
      <c r="Z10" s="57"/>
      <c r="AA10" s="58">
        <f t="shared" si="3"/>
        <v>9.6774193548387094E-2</v>
      </c>
      <c r="AB10" s="57"/>
      <c r="AC10" s="77">
        <f t="shared" si="2"/>
        <v>1985.9899999999998</v>
      </c>
      <c r="AD10" s="57"/>
      <c r="AE10" s="58">
        <f t="shared" si="4"/>
        <v>0.13227578774757709</v>
      </c>
      <c r="AF10" s="57"/>
      <c r="AH10" s="57"/>
      <c r="AI10" s="57"/>
      <c r="AJ10" s="57"/>
    </row>
    <row r="11" spans="1:36" x14ac:dyDescent="0.2">
      <c r="A11" s="59" t="s">
        <v>553</v>
      </c>
      <c r="B11" s="60" t="s">
        <v>400</v>
      </c>
      <c r="C11" s="79">
        <v>951.22</v>
      </c>
      <c r="D11" s="80"/>
      <c r="E11" s="79">
        <v>1987.67</v>
      </c>
      <c r="F11" s="80"/>
      <c r="G11" s="79">
        <v>2333.3200000000002</v>
      </c>
      <c r="H11" s="79"/>
      <c r="I11" s="79">
        <v>700</v>
      </c>
      <c r="J11" s="79"/>
      <c r="K11" s="79">
        <v>700</v>
      </c>
      <c r="L11" s="79"/>
      <c r="M11" s="79">
        <v>513.4</v>
      </c>
      <c r="N11" s="79"/>
      <c r="O11" s="79">
        <v>0</v>
      </c>
      <c r="P11" s="79"/>
      <c r="Q11" s="79">
        <f t="shared" si="0"/>
        <v>513.4</v>
      </c>
      <c r="R11" s="79"/>
      <c r="S11" s="79">
        <v>0</v>
      </c>
      <c r="T11" s="79"/>
      <c r="U11" s="79">
        <v>0</v>
      </c>
      <c r="V11" s="79"/>
      <c r="W11" s="79">
        <v>0</v>
      </c>
      <c r="X11" s="79"/>
      <c r="Y11" s="79">
        <f t="shared" si="1"/>
        <v>-700</v>
      </c>
      <c r="Z11" s="62"/>
      <c r="AA11" s="63" t="str">
        <f t="shared" si="3"/>
        <v>N/A</v>
      </c>
      <c r="AB11" s="62"/>
      <c r="AC11" s="79">
        <f t="shared" si="2"/>
        <v>-513.4</v>
      </c>
      <c r="AD11" s="62"/>
      <c r="AE11" s="63" t="str">
        <f t="shared" si="4"/>
        <v>N/A</v>
      </c>
      <c r="AF11" s="57"/>
      <c r="AH11" s="57"/>
      <c r="AI11" s="57"/>
      <c r="AJ11" s="57"/>
    </row>
    <row r="12" spans="1:36" x14ac:dyDescent="0.2">
      <c r="A12" s="55" t="s">
        <v>554</v>
      </c>
      <c r="B12" s="56" t="s">
        <v>401</v>
      </c>
      <c r="C12" s="77">
        <v>951.22</v>
      </c>
      <c r="E12" s="77">
        <v>1987.67</v>
      </c>
      <c r="G12" s="77">
        <v>2333.3200000000002</v>
      </c>
      <c r="I12" s="77">
        <v>700</v>
      </c>
      <c r="K12" s="77">
        <v>700</v>
      </c>
      <c r="M12" s="77">
        <v>513.4</v>
      </c>
      <c r="O12" s="77">
        <v>0</v>
      </c>
      <c r="Q12" s="77">
        <f t="shared" si="0"/>
        <v>513.4</v>
      </c>
      <c r="S12" s="77">
        <v>0</v>
      </c>
      <c r="U12" s="77">
        <v>0</v>
      </c>
      <c r="W12" s="77">
        <v>0</v>
      </c>
      <c r="Y12" s="77">
        <f t="shared" si="1"/>
        <v>-700</v>
      </c>
      <c r="Z12" s="57"/>
      <c r="AA12" s="58" t="str">
        <f t="shared" si="3"/>
        <v>N/A</v>
      </c>
      <c r="AB12" s="57"/>
      <c r="AC12" s="77">
        <f t="shared" si="2"/>
        <v>-513.4</v>
      </c>
      <c r="AD12" s="57"/>
      <c r="AE12" s="58" t="str">
        <f t="shared" si="4"/>
        <v>N/A</v>
      </c>
      <c r="AF12" s="57"/>
      <c r="AH12" s="57"/>
      <c r="AI12" s="57"/>
      <c r="AJ12" s="57"/>
    </row>
    <row r="13" spans="1:36" x14ac:dyDescent="0.2">
      <c r="A13" s="59" t="s">
        <v>555</v>
      </c>
      <c r="B13" s="60" t="s">
        <v>46</v>
      </c>
      <c r="C13" s="79">
        <v>0</v>
      </c>
      <c r="D13" s="80"/>
      <c r="E13" s="79">
        <v>0</v>
      </c>
      <c r="F13" s="80"/>
      <c r="G13" s="79">
        <v>0</v>
      </c>
      <c r="H13" s="79"/>
      <c r="I13" s="79">
        <v>4700</v>
      </c>
      <c r="J13" s="79"/>
      <c r="K13" s="79">
        <v>4700</v>
      </c>
      <c r="L13" s="79"/>
      <c r="M13" s="79">
        <v>3634.31</v>
      </c>
      <c r="N13" s="79"/>
      <c r="O13" s="79">
        <f>PRODUCT(M13,0/9)</f>
        <v>0</v>
      </c>
      <c r="P13" s="79"/>
      <c r="Q13" s="79">
        <f t="shared" si="0"/>
        <v>3634.31</v>
      </c>
      <c r="R13" s="79"/>
      <c r="S13" s="79">
        <v>7000</v>
      </c>
      <c r="T13" s="79"/>
      <c r="U13" s="79">
        <v>6500</v>
      </c>
      <c r="V13" s="79"/>
      <c r="W13" s="79">
        <v>7000</v>
      </c>
      <c r="X13" s="79"/>
      <c r="Y13" s="79">
        <f t="shared" si="1"/>
        <v>2300</v>
      </c>
      <c r="Z13" s="62"/>
      <c r="AA13" s="63">
        <f t="shared" si="3"/>
        <v>0.48936170212765956</v>
      </c>
      <c r="AB13" s="62"/>
      <c r="AC13" s="79">
        <f t="shared" si="2"/>
        <v>3365.69</v>
      </c>
      <c r="AD13" s="62"/>
      <c r="AE13" s="63">
        <f t="shared" si="4"/>
        <v>0.92608775806136512</v>
      </c>
      <c r="AF13" s="57"/>
      <c r="AH13" s="57"/>
      <c r="AI13" s="57"/>
      <c r="AJ13" s="57"/>
    </row>
    <row r="14" spans="1:36" x14ac:dyDescent="0.2">
      <c r="A14" s="64" t="s">
        <v>47</v>
      </c>
      <c r="C14" s="81">
        <f>SUM(C6:C13)</f>
        <v>63701.63</v>
      </c>
      <c r="E14" s="81">
        <f>SUM(E6:E13)</f>
        <v>74333.849999999991</v>
      </c>
      <c r="G14" s="81">
        <f>SUM(G6:G13)</f>
        <v>80951.620000000024</v>
      </c>
      <c r="I14" s="81">
        <f>SUM(I6:I13)</f>
        <v>100650</v>
      </c>
      <c r="K14" s="81">
        <f>SUM(K6:K13)</f>
        <v>100650</v>
      </c>
      <c r="M14" s="81">
        <f>SUM(M6:M13)</f>
        <v>90835.069999999992</v>
      </c>
      <c r="O14" s="81">
        <f>SUM(O6:O13)</f>
        <v>0</v>
      </c>
      <c r="Q14" s="81">
        <f>SUM(Q6:Q13)</f>
        <v>90835.069999999992</v>
      </c>
      <c r="S14" s="81">
        <f>SUM(S6:S13)</f>
        <v>107000</v>
      </c>
      <c r="U14" s="81">
        <f>SUM(U6:U13)</f>
        <v>105800</v>
      </c>
      <c r="W14" s="81">
        <f>SUM(W6:W13)</f>
        <v>107500</v>
      </c>
      <c r="Y14" s="81">
        <f>SUM(Y6:Y13)</f>
        <v>6850</v>
      </c>
      <c r="Z14" s="57"/>
      <c r="AA14" s="65">
        <f t="shared" si="3"/>
        <v>6.8057625434674612E-2</v>
      </c>
      <c r="AB14" s="57"/>
      <c r="AC14" s="81">
        <f>SUM(AC6:AC13)</f>
        <v>16664.929999999997</v>
      </c>
      <c r="AD14" s="57"/>
      <c r="AE14" s="65">
        <f t="shared" si="4"/>
        <v>0.18346361157645386</v>
      </c>
      <c r="AF14" s="57"/>
      <c r="AH14" s="57"/>
      <c r="AI14" s="57"/>
      <c r="AJ14" s="57"/>
    </row>
    <row r="15" spans="1:36" x14ac:dyDescent="0.2">
      <c r="Z15" s="57"/>
      <c r="AB15" s="57"/>
      <c r="AD15" s="57"/>
      <c r="AF15" s="57"/>
      <c r="AH15" s="57"/>
      <c r="AI15" s="57"/>
      <c r="AJ15" s="57"/>
    </row>
    <row r="16" spans="1:36" x14ac:dyDescent="0.2">
      <c r="A16" s="54" t="s">
        <v>48</v>
      </c>
      <c r="Z16" s="57"/>
      <c r="AB16" s="57"/>
      <c r="AD16" s="57"/>
      <c r="AF16" s="57"/>
      <c r="AH16" s="57"/>
      <c r="AI16" s="57"/>
      <c r="AJ16" s="57"/>
    </row>
    <row r="17" spans="1:36" x14ac:dyDescent="0.2">
      <c r="A17" s="59" t="s">
        <v>556</v>
      </c>
      <c r="B17" s="60" t="s">
        <v>557</v>
      </c>
      <c r="C17" s="79">
        <v>13500</v>
      </c>
      <c r="D17" s="80"/>
      <c r="E17" s="79">
        <v>13500</v>
      </c>
      <c r="F17" s="80"/>
      <c r="G17" s="79">
        <v>13500</v>
      </c>
      <c r="H17" s="79"/>
      <c r="I17" s="79">
        <v>15000</v>
      </c>
      <c r="J17" s="79"/>
      <c r="K17" s="79">
        <v>15000</v>
      </c>
      <c r="L17" s="79"/>
      <c r="M17" s="79">
        <v>15000</v>
      </c>
      <c r="N17" s="79"/>
      <c r="O17" s="79">
        <v>0</v>
      </c>
      <c r="P17" s="79"/>
      <c r="Q17" s="79">
        <f>SUM(M17,O17)</f>
        <v>15000</v>
      </c>
      <c r="R17" s="79"/>
      <c r="S17" s="79">
        <v>15000</v>
      </c>
      <c r="T17" s="79"/>
      <c r="U17" s="79">
        <v>15000</v>
      </c>
      <c r="V17" s="79"/>
      <c r="W17" s="79">
        <v>15000</v>
      </c>
      <c r="X17" s="79"/>
      <c r="Y17" s="79">
        <f>SUM(W17,-I17)</f>
        <v>0</v>
      </c>
      <c r="Z17" s="62"/>
      <c r="AA17" s="63">
        <f t="shared" ref="AA17:AA22" si="5">IF(W17=0,"N/A",PRODUCT(Y17,1/I17))</f>
        <v>0</v>
      </c>
      <c r="AB17" s="62"/>
      <c r="AC17" s="79">
        <f>SUM(W17,-Q17)</f>
        <v>0</v>
      </c>
      <c r="AD17" s="62"/>
      <c r="AE17" s="63">
        <f t="shared" ref="AE17:AE22" si="6">IF(W17=0,"N/A",PRODUCT(AC17,1/Q17))</f>
        <v>0</v>
      </c>
      <c r="AF17" s="57"/>
      <c r="AH17" s="57"/>
      <c r="AI17" s="57"/>
      <c r="AJ17" s="57"/>
    </row>
    <row r="18" spans="1:36" x14ac:dyDescent="0.2">
      <c r="A18" s="55" t="s">
        <v>558</v>
      </c>
      <c r="B18" s="56" t="s">
        <v>223</v>
      </c>
      <c r="C18" s="77">
        <v>0</v>
      </c>
      <c r="E18" s="77">
        <v>0</v>
      </c>
      <c r="G18" s="77">
        <v>0</v>
      </c>
      <c r="I18" s="77">
        <v>10000</v>
      </c>
      <c r="K18" s="77">
        <v>10000</v>
      </c>
      <c r="M18" s="77">
        <v>10000</v>
      </c>
      <c r="O18" s="77">
        <v>0</v>
      </c>
      <c r="Q18" s="77">
        <f>SUM(M18,O18)</f>
        <v>10000</v>
      </c>
      <c r="S18" s="77">
        <v>10000</v>
      </c>
      <c r="U18" s="77">
        <v>10000</v>
      </c>
      <c r="W18" s="77">
        <v>10000</v>
      </c>
      <c r="Y18" s="77">
        <f>SUM(W18,-I18)</f>
        <v>0</v>
      </c>
      <c r="Z18" s="57"/>
      <c r="AA18" s="58">
        <f t="shared" si="5"/>
        <v>0</v>
      </c>
      <c r="AB18" s="57"/>
      <c r="AC18" s="77">
        <f>SUM(W18,-Q18)</f>
        <v>0</v>
      </c>
      <c r="AD18" s="57"/>
      <c r="AE18" s="58">
        <f t="shared" si="6"/>
        <v>0</v>
      </c>
      <c r="AF18" s="57"/>
      <c r="AH18" s="57"/>
      <c r="AI18" s="57"/>
      <c r="AJ18" s="57"/>
    </row>
    <row r="19" spans="1:36" x14ac:dyDescent="0.2">
      <c r="A19" s="59" t="s">
        <v>559</v>
      </c>
      <c r="B19" s="60" t="s">
        <v>325</v>
      </c>
      <c r="C19" s="79">
        <v>1058.77</v>
      </c>
      <c r="D19" s="80"/>
      <c r="E19" s="79">
        <v>325.86</v>
      </c>
      <c r="F19" s="80"/>
      <c r="G19" s="79">
        <v>871.55</v>
      </c>
      <c r="H19" s="79"/>
      <c r="I19" s="79">
        <v>1000</v>
      </c>
      <c r="J19" s="79"/>
      <c r="K19" s="79">
        <v>1000</v>
      </c>
      <c r="L19" s="79"/>
      <c r="M19" s="79">
        <v>704.85</v>
      </c>
      <c r="N19" s="79"/>
      <c r="O19" s="79">
        <f>PRODUCT(M19,0/12)</f>
        <v>0</v>
      </c>
      <c r="P19" s="79"/>
      <c r="Q19" s="79">
        <f>SUM(M19,O19)</f>
        <v>704.85</v>
      </c>
      <c r="R19" s="79"/>
      <c r="S19" s="79">
        <v>1000</v>
      </c>
      <c r="T19" s="79"/>
      <c r="U19" s="79">
        <v>1000</v>
      </c>
      <c r="V19" s="79"/>
      <c r="W19" s="79">
        <v>2000</v>
      </c>
      <c r="X19" s="79"/>
      <c r="Y19" s="79">
        <f>SUM(W19,-I19)</f>
        <v>1000</v>
      </c>
      <c r="Z19" s="62"/>
      <c r="AA19" s="63">
        <f t="shared" si="5"/>
        <v>1</v>
      </c>
      <c r="AB19" s="62"/>
      <c r="AC19" s="79">
        <f>SUM(W19,-Q19)</f>
        <v>1295.1500000000001</v>
      </c>
      <c r="AD19" s="62"/>
      <c r="AE19" s="63">
        <f t="shared" si="6"/>
        <v>1.8374831524437825</v>
      </c>
      <c r="AF19" s="57"/>
      <c r="AH19" s="57"/>
      <c r="AI19" s="57"/>
      <c r="AJ19" s="57"/>
    </row>
    <row r="20" spans="1:36" x14ac:dyDescent="0.2">
      <c r="A20" s="55" t="s">
        <v>560</v>
      </c>
      <c r="B20" s="56" t="s">
        <v>327</v>
      </c>
      <c r="C20" s="77">
        <v>367.94</v>
      </c>
      <c r="E20" s="77">
        <v>999.32</v>
      </c>
      <c r="G20" s="77">
        <v>0</v>
      </c>
      <c r="I20" s="77">
        <v>750</v>
      </c>
      <c r="K20" s="77">
        <v>750</v>
      </c>
      <c r="M20" s="77">
        <v>163.16</v>
      </c>
      <c r="O20" s="77">
        <f>PRODUCT(M20,0/12)</f>
        <v>0</v>
      </c>
      <c r="Q20" s="77">
        <f>SUM(M20,O20)</f>
        <v>163.16</v>
      </c>
      <c r="S20" s="77">
        <v>750</v>
      </c>
      <c r="U20" s="77">
        <v>500</v>
      </c>
      <c r="W20" s="77">
        <v>500</v>
      </c>
      <c r="Y20" s="77">
        <f>SUM(W20,-I20)</f>
        <v>-250</v>
      </c>
      <c r="Z20" s="57"/>
      <c r="AA20" s="58">
        <f t="shared" si="5"/>
        <v>-0.33333333333333331</v>
      </c>
      <c r="AB20" s="57"/>
      <c r="AC20" s="77">
        <f>SUM(W20,-Q20)</f>
        <v>336.84000000000003</v>
      </c>
      <c r="AD20" s="57"/>
      <c r="AE20" s="58">
        <f t="shared" si="6"/>
        <v>2.0644765873988722</v>
      </c>
      <c r="AF20" s="57"/>
      <c r="AH20" s="57"/>
      <c r="AI20" s="57"/>
      <c r="AJ20" s="57"/>
    </row>
    <row r="21" spans="1:36" x14ac:dyDescent="0.2">
      <c r="A21" s="59" t="s">
        <v>561</v>
      </c>
      <c r="B21" s="60" t="s">
        <v>328</v>
      </c>
      <c r="C21" s="79">
        <v>2785.5</v>
      </c>
      <c r="D21" s="80"/>
      <c r="E21" s="79">
        <v>2115.3000000000002</v>
      </c>
      <c r="F21" s="80"/>
      <c r="G21" s="79">
        <v>4921.9399999999996</v>
      </c>
      <c r="H21" s="79"/>
      <c r="I21" s="79">
        <v>6000</v>
      </c>
      <c r="J21" s="79"/>
      <c r="K21" s="79">
        <v>6000</v>
      </c>
      <c r="L21" s="79"/>
      <c r="M21" s="79">
        <v>4329.8900000000003</v>
      </c>
      <c r="N21" s="79"/>
      <c r="O21" s="79">
        <f>PRODUCT(M21,0/12)</f>
        <v>0</v>
      </c>
      <c r="P21" s="79"/>
      <c r="Q21" s="79">
        <f>SUM(M21,O21)</f>
        <v>4329.8900000000003</v>
      </c>
      <c r="R21" s="79"/>
      <c r="S21" s="79">
        <v>5000</v>
      </c>
      <c r="T21" s="79"/>
      <c r="U21" s="79">
        <v>5000</v>
      </c>
      <c r="V21" s="79"/>
      <c r="W21" s="79">
        <v>5500</v>
      </c>
      <c r="X21" s="79"/>
      <c r="Y21" s="79">
        <f>SUM(W21,-I21)</f>
        <v>-500</v>
      </c>
      <c r="Z21" s="62"/>
      <c r="AA21" s="63">
        <f t="shared" si="5"/>
        <v>-8.3333333333333329E-2</v>
      </c>
      <c r="AB21" s="62"/>
      <c r="AC21" s="79">
        <f>SUM(W21,-Q21)</f>
        <v>1170.1099999999997</v>
      </c>
      <c r="AD21" s="62"/>
      <c r="AE21" s="63">
        <f t="shared" si="6"/>
        <v>0.27024012157352717</v>
      </c>
      <c r="AF21" s="57"/>
      <c r="AH21" s="57"/>
      <c r="AI21" s="57"/>
      <c r="AJ21" s="57"/>
    </row>
    <row r="22" spans="1:36" x14ac:dyDescent="0.2">
      <c r="A22" s="64" t="s">
        <v>49</v>
      </c>
      <c r="C22" s="81">
        <f>SUM(C17:C21)</f>
        <v>17712.21</v>
      </c>
      <c r="E22" s="81">
        <f>SUM(E17:E21)</f>
        <v>16940.48</v>
      </c>
      <c r="G22" s="81">
        <f>SUM(G17:G21)</f>
        <v>19293.489999999998</v>
      </c>
      <c r="I22" s="81">
        <f>SUM(I17:I21)</f>
        <v>32750</v>
      </c>
      <c r="K22" s="81">
        <f>SUM(K17:K21)</f>
        <v>32750</v>
      </c>
      <c r="M22" s="81">
        <f>SUM(M17:M21)</f>
        <v>30197.899999999998</v>
      </c>
      <c r="O22" s="81">
        <f>SUM(O17:O21)</f>
        <v>0</v>
      </c>
      <c r="Q22" s="81">
        <f>SUM(Q17:Q21)</f>
        <v>30197.899999999998</v>
      </c>
      <c r="S22" s="81">
        <f>SUM(S17:S21)</f>
        <v>31750</v>
      </c>
      <c r="U22" s="81">
        <f>SUM(U17:U21)</f>
        <v>31500</v>
      </c>
      <c r="W22" s="81">
        <f>SUM(W17:W21)</f>
        <v>33000</v>
      </c>
      <c r="Y22" s="81">
        <f>SUM(Y17:Y21)</f>
        <v>250</v>
      </c>
      <c r="Z22" s="57"/>
      <c r="AA22" s="65">
        <f t="shared" si="5"/>
        <v>7.6335877862595417E-3</v>
      </c>
      <c r="AB22" s="57"/>
      <c r="AC22" s="81">
        <f>SUM(AC17:AC21)</f>
        <v>2802.1</v>
      </c>
      <c r="AD22" s="57"/>
      <c r="AE22" s="65">
        <f t="shared" si="6"/>
        <v>9.2791220581563624E-2</v>
      </c>
      <c r="AF22" s="57"/>
      <c r="AH22" s="57"/>
      <c r="AI22" s="57"/>
      <c r="AJ22" s="57"/>
    </row>
    <row r="23" spans="1:36" x14ac:dyDescent="0.2">
      <c r="Z23" s="57"/>
      <c r="AB23" s="57"/>
      <c r="AD23" s="57"/>
      <c r="AF23" s="57"/>
      <c r="AH23" s="57"/>
      <c r="AI23" s="57"/>
      <c r="AJ23" s="57"/>
    </row>
    <row r="24" spans="1:36" x14ac:dyDescent="0.2">
      <c r="A24" s="54" t="s">
        <v>65</v>
      </c>
      <c r="Z24" s="57"/>
      <c r="AB24" s="57"/>
      <c r="AD24" s="57"/>
      <c r="AF24" s="57"/>
      <c r="AH24" s="57"/>
      <c r="AI24" s="57"/>
      <c r="AJ24" s="57"/>
    </row>
    <row r="25" spans="1:36" x14ac:dyDescent="0.2">
      <c r="A25" s="59" t="s">
        <v>562</v>
      </c>
      <c r="B25" s="60" t="s">
        <v>445</v>
      </c>
      <c r="C25" s="79">
        <v>1804.51</v>
      </c>
      <c r="D25" s="80"/>
      <c r="E25" s="79">
        <v>934</v>
      </c>
      <c r="F25" s="80"/>
      <c r="G25" s="79">
        <v>2284.35</v>
      </c>
      <c r="H25" s="79"/>
      <c r="I25" s="79">
        <v>2000</v>
      </c>
      <c r="J25" s="79"/>
      <c r="K25" s="79">
        <v>2000</v>
      </c>
      <c r="L25" s="79"/>
      <c r="M25" s="79">
        <v>2672.47</v>
      </c>
      <c r="N25" s="79"/>
      <c r="O25" s="79">
        <f>PRODUCT(M25,0/12)</f>
        <v>0</v>
      </c>
      <c r="P25" s="79"/>
      <c r="Q25" s="79">
        <f>SUM(M25,O25)</f>
        <v>2672.47</v>
      </c>
      <c r="R25" s="79"/>
      <c r="S25" s="79">
        <v>2000</v>
      </c>
      <c r="T25" s="79"/>
      <c r="U25" s="79">
        <v>2000</v>
      </c>
      <c r="V25" s="79"/>
      <c r="W25" s="79">
        <v>2000</v>
      </c>
      <c r="X25" s="79"/>
      <c r="Y25" s="79">
        <f>SUM(W25,-I25)</f>
        <v>0</v>
      </c>
      <c r="Z25" s="62"/>
      <c r="AA25" s="63">
        <f>IF(W25=0,"N/A",PRODUCT(Y25,1/I25))</f>
        <v>0</v>
      </c>
      <c r="AB25" s="62"/>
      <c r="AC25" s="79">
        <f>SUM(W25,-Q25)</f>
        <v>-672.4699999999998</v>
      </c>
      <c r="AD25" s="62"/>
      <c r="AE25" s="63">
        <f>IF(W25=0,"N/A",PRODUCT(AC25,1/Q25))</f>
        <v>-0.25162864316531147</v>
      </c>
      <c r="AF25" s="57"/>
      <c r="AH25" s="57"/>
      <c r="AI25" s="57"/>
      <c r="AJ25" s="57"/>
    </row>
    <row r="26" spans="1:36" x14ac:dyDescent="0.2">
      <c r="A26" s="64" t="s">
        <v>66</v>
      </c>
      <c r="C26" s="81">
        <f>SUM(C25:C25)</f>
        <v>1804.51</v>
      </c>
      <c r="E26" s="81">
        <f>SUM(E25:E25)</f>
        <v>934</v>
      </c>
      <c r="G26" s="81">
        <f>SUM(G25:G25)</f>
        <v>2284.35</v>
      </c>
      <c r="I26" s="81">
        <f>SUM(I25:I25)</f>
        <v>2000</v>
      </c>
      <c r="K26" s="81">
        <f>SUM(K25:K25)</f>
        <v>2000</v>
      </c>
      <c r="M26" s="81">
        <f>SUM(M25:M25)</f>
        <v>2672.47</v>
      </c>
      <c r="O26" s="81">
        <f>SUM(O25:O25)</f>
        <v>0</v>
      </c>
      <c r="Q26" s="81">
        <f>SUM(Q25:Q25)</f>
        <v>2672.47</v>
      </c>
      <c r="S26" s="81">
        <f>SUM(S25:S25)</f>
        <v>2000</v>
      </c>
      <c r="U26" s="81">
        <f>SUM(U25:U25)</f>
        <v>2000</v>
      </c>
      <c r="W26" s="81">
        <f>SUM(W25:W25)</f>
        <v>2000</v>
      </c>
      <c r="Y26" s="81">
        <f>SUM(Y25:Y25)</f>
        <v>0</v>
      </c>
      <c r="Z26" s="57"/>
      <c r="AA26" s="65">
        <f>IF(W26=0,"N/A",PRODUCT(Y26,1/I26))</f>
        <v>0</v>
      </c>
      <c r="AB26" s="57"/>
      <c r="AC26" s="81">
        <f>SUM(AC25:AC25)</f>
        <v>-672.4699999999998</v>
      </c>
      <c r="AD26" s="57"/>
      <c r="AE26" s="65">
        <f>IF(W26=0,"N/A",PRODUCT(AC26,1/Q26))</f>
        <v>-0.25162864316531147</v>
      </c>
      <c r="AF26" s="57"/>
      <c r="AH26" s="57"/>
      <c r="AI26" s="57"/>
      <c r="AJ26" s="57"/>
    </row>
    <row r="27" spans="1:36" x14ac:dyDescent="0.2">
      <c r="Z27" s="57"/>
      <c r="AB27" s="57"/>
      <c r="AD27" s="57"/>
      <c r="AF27" s="57"/>
      <c r="AH27" s="57"/>
      <c r="AI27" s="57"/>
      <c r="AJ27" s="57"/>
    </row>
    <row r="28" spans="1:36" x14ac:dyDescent="0.2">
      <c r="A28" s="54" t="s">
        <v>69</v>
      </c>
      <c r="Z28" s="57"/>
      <c r="AB28" s="57"/>
      <c r="AD28" s="57"/>
      <c r="AF28" s="57"/>
      <c r="AH28" s="57"/>
      <c r="AI28" s="57"/>
      <c r="AJ28" s="57"/>
    </row>
    <row r="29" spans="1:36" x14ac:dyDescent="0.2">
      <c r="A29" s="59" t="s">
        <v>563</v>
      </c>
      <c r="B29" s="60" t="s">
        <v>347</v>
      </c>
      <c r="C29" s="79">
        <v>1460.6</v>
      </c>
      <c r="D29" s="80"/>
      <c r="E29" s="79">
        <v>144</v>
      </c>
      <c r="F29" s="80"/>
      <c r="G29" s="79">
        <v>0</v>
      </c>
      <c r="H29" s="79"/>
      <c r="I29" s="79">
        <v>750</v>
      </c>
      <c r="J29" s="79"/>
      <c r="K29" s="79">
        <v>750</v>
      </c>
      <c r="L29" s="79"/>
      <c r="M29" s="79">
        <v>235</v>
      </c>
      <c r="N29" s="79"/>
      <c r="O29" s="79">
        <f>PRODUCT(M29,0/12)</f>
        <v>0</v>
      </c>
      <c r="P29" s="79"/>
      <c r="Q29" s="79">
        <f>SUM(M29,O29)</f>
        <v>235</v>
      </c>
      <c r="R29" s="79"/>
      <c r="S29" s="79">
        <v>500</v>
      </c>
      <c r="T29" s="79"/>
      <c r="U29" s="79">
        <v>500</v>
      </c>
      <c r="V29" s="79"/>
      <c r="W29" s="79">
        <v>500</v>
      </c>
      <c r="X29" s="79"/>
      <c r="Y29" s="79">
        <f>SUM(W29,-I29)</f>
        <v>-250</v>
      </c>
      <c r="Z29" s="62"/>
      <c r="AA29" s="63">
        <f>IF(W29=0,"N/A",PRODUCT(Y29,1/I29))</f>
        <v>-0.33333333333333331</v>
      </c>
      <c r="AB29" s="62"/>
      <c r="AC29" s="79">
        <f>SUM(W29,-Q29)</f>
        <v>265</v>
      </c>
      <c r="AD29" s="62"/>
      <c r="AE29" s="63">
        <f>IF(W29=0,"N/A",PRODUCT(AC29,1/Q29))</f>
        <v>1.1276595744680851</v>
      </c>
      <c r="AF29" s="57"/>
      <c r="AH29" s="57"/>
      <c r="AI29" s="57"/>
      <c r="AJ29" s="57"/>
    </row>
    <row r="30" spans="1:36" x14ac:dyDescent="0.2">
      <c r="A30" s="55" t="s">
        <v>564</v>
      </c>
      <c r="B30" s="56" t="s">
        <v>217</v>
      </c>
      <c r="C30" s="77">
        <v>482.59</v>
      </c>
      <c r="E30" s="77">
        <v>810</v>
      </c>
      <c r="G30" s="77">
        <v>180</v>
      </c>
      <c r="I30" s="77">
        <v>500</v>
      </c>
      <c r="K30" s="77">
        <v>500</v>
      </c>
      <c r="M30" s="77">
        <v>505.78</v>
      </c>
      <c r="O30" s="77">
        <f>PRODUCT(M30,0/12)</f>
        <v>0</v>
      </c>
      <c r="Q30" s="77">
        <f>SUM(M30,O30)</f>
        <v>505.78</v>
      </c>
      <c r="S30" s="77">
        <v>500</v>
      </c>
      <c r="U30" s="77">
        <v>500</v>
      </c>
      <c r="W30" s="77">
        <v>500</v>
      </c>
      <c r="Y30" s="77">
        <f>SUM(W30,-I30)</f>
        <v>0</v>
      </c>
      <c r="Z30" s="57"/>
      <c r="AA30" s="58">
        <f>IF(W30=0,"N/A",PRODUCT(Y30,1/I30))</f>
        <v>0</v>
      </c>
      <c r="AB30" s="57"/>
      <c r="AC30" s="77">
        <f>SUM(W30,-Q30)</f>
        <v>-5.7799999999999727</v>
      </c>
      <c r="AD30" s="57"/>
      <c r="AE30" s="58">
        <f>IF(W30=0,"N/A",PRODUCT(AC30,1/Q30))</f>
        <v>-1.1427893550555523E-2</v>
      </c>
      <c r="AF30" s="57"/>
      <c r="AH30" s="57"/>
      <c r="AI30" s="57"/>
      <c r="AJ30" s="57"/>
    </row>
    <row r="31" spans="1:36" x14ac:dyDescent="0.2">
      <c r="A31" s="59" t="s">
        <v>565</v>
      </c>
      <c r="B31" s="60" t="s">
        <v>566</v>
      </c>
      <c r="C31" s="79">
        <v>74573.48</v>
      </c>
      <c r="D31" s="80"/>
      <c r="E31" s="79">
        <v>83660</v>
      </c>
      <c r="F31" s="80"/>
      <c r="G31" s="79">
        <v>42130</v>
      </c>
      <c r="H31" s="79"/>
      <c r="I31" s="79">
        <v>75000</v>
      </c>
      <c r="J31" s="79"/>
      <c r="K31" s="79">
        <v>75000</v>
      </c>
      <c r="L31" s="79"/>
      <c r="M31" s="79">
        <v>0</v>
      </c>
      <c r="N31" s="79"/>
      <c r="O31" s="79">
        <f>PRODUCT(M31,0/12)</f>
        <v>0</v>
      </c>
      <c r="P31" s="79"/>
      <c r="Q31" s="79">
        <f>SUM(M31,O31)</f>
        <v>0</v>
      </c>
      <c r="R31" s="79"/>
      <c r="S31" s="79">
        <v>75000</v>
      </c>
      <c r="T31" s="79"/>
      <c r="U31" s="79">
        <v>75000</v>
      </c>
      <c r="V31" s="79"/>
      <c r="W31" s="79">
        <v>30000</v>
      </c>
      <c r="X31" s="79"/>
      <c r="Y31" s="79">
        <f>SUM(W31,-I31)</f>
        <v>-45000</v>
      </c>
      <c r="Z31" s="62"/>
      <c r="AA31" s="63">
        <f>IF(W31=0,"N/A",PRODUCT(Y31,1/I31))</f>
        <v>-0.6</v>
      </c>
      <c r="AB31" s="62"/>
      <c r="AC31" s="79">
        <f>SUM(W31,-Q31)</f>
        <v>30000</v>
      </c>
      <c r="AD31" s="62"/>
      <c r="AE31" s="63" t="e">
        <f>IF(W31=0,"N/A",PRODUCT(AC31,1/Q31))</f>
        <v>#DIV/0!</v>
      </c>
      <c r="AF31" s="57"/>
      <c r="AG31" s="56" t="s">
        <v>1433</v>
      </c>
      <c r="AH31" s="57"/>
      <c r="AI31" s="57"/>
      <c r="AJ31" s="57"/>
    </row>
    <row r="32" spans="1:36" x14ac:dyDescent="0.2">
      <c r="A32" s="64" t="s">
        <v>70</v>
      </c>
      <c r="C32" s="81">
        <f>SUM(C29:C31)</f>
        <v>76516.67</v>
      </c>
      <c r="E32" s="81">
        <f>SUM(E29:E31)</f>
        <v>84614</v>
      </c>
      <c r="G32" s="81">
        <f>SUM(G29:G31)</f>
        <v>42310</v>
      </c>
      <c r="I32" s="81">
        <f>SUM(I29:I31)</f>
        <v>76250</v>
      </c>
      <c r="K32" s="81">
        <f>SUM(K29:K31)</f>
        <v>76250</v>
      </c>
      <c r="M32" s="81">
        <f>SUM(M29:M31)</f>
        <v>740.78</v>
      </c>
      <c r="O32" s="81">
        <f>SUM(O29:O31)</f>
        <v>0</v>
      </c>
      <c r="Q32" s="81">
        <f>SUM(Q29:Q31)</f>
        <v>740.78</v>
      </c>
      <c r="S32" s="81">
        <f>SUM(S29:S31)</f>
        <v>76000</v>
      </c>
      <c r="U32" s="81">
        <f>SUM(U29:U31)</f>
        <v>76000</v>
      </c>
      <c r="W32" s="81">
        <f>SUM(W29:W31)</f>
        <v>31000</v>
      </c>
      <c r="Y32" s="81">
        <f>SUM(Y29:Y31)</f>
        <v>-45250</v>
      </c>
      <c r="Z32" s="57"/>
      <c r="AA32" s="65">
        <f>IF(W32=0,"N/A",PRODUCT(Y32,1/I32))</f>
        <v>-0.59344262295081962</v>
      </c>
      <c r="AB32" s="57"/>
      <c r="AC32" s="81">
        <f>SUM(AC29:AC31)</f>
        <v>30259.22</v>
      </c>
      <c r="AD32" s="57"/>
      <c r="AE32" s="65">
        <f>IF(W32=0,"N/A",PRODUCT(AC32,1/Q32))</f>
        <v>40.847782067550426</v>
      </c>
      <c r="AF32" s="57"/>
      <c r="AH32" s="57"/>
      <c r="AI32" s="57"/>
      <c r="AJ32" s="57"/>
    </row>
    <row r="33" spans="1:36" x14ac:dyDescent="0.2">
      <c r="A33" s="55"/>
      <c r="Z33" s="57"/>
      <c r="AB33" s="57"/>
      <c r="AD33" s="57"/>
      <c r="AF33" s="57"/>
      <c r="AH33" s="57"/>
      <c r="AI33" s="57"/>
      <c r="AJ33" s="57"/>
    </row>
    <row r="34" spans="1:36" ht="13.5" thickBot="1" x14ac:dyDescent="0.25">
      <c r="A34" s="67" t="s">
        <v>567</v>
      </c>
      <c r="C34" s="83">
        <f>SUM(C14,C22,C26,C32)</f>
        <v>159735.01999999999</v>
      </c>
      <c r="E34" s="83">
        <f>SUM(E14,E22,E26,E32)</f>
        <v>176822.33</v>
      </c>
      <c r="G34" s="83">
        <f>SUM(G14,G22,G26,G32)</f>
        <v>144839.46000000002</v>
      </c>
      <c r="I34" s="83">
        <f>SUM(I14,I22,I26,I32)</f>
        <v>211650</v>
      </c>
      <c r="K34" s="83">
        <f>SUM(K14,K22,K26,K32)</f>
        <v>211650</v>
      </c>
      <c r="M34" s="82">
        <f>SUM(M14,M22,M26,M32)</f>
        <v>124446.21999999999</v>
      </c>
      <c r="O34" s="82">
        <f>SUM(O14,O22,O26,O32)</f>
        <v>0</v>
      </c>
      <c r="Q34" s="83">
        <f>SUM(Q14,Q22,Q26,Q32)</f>
        <v>124446.21999999999</v>
      </c>
      <c r="S34" s="82">
        <f>SUM(S14,S22,S26,S32)</f>
        <v>216750</v>
      </c>
      <c r="U34" s="82">
        <f>SUM(U14,U22,U26,U32)</f>
        <v>215300</v>
      </c>
      <c r="W34" s="83">
        <f>SUM(W14,W22,W26,W32)</f>
        <v>173500</v>
      </c>
      <c r="Y34" s="82">
        <f>SUM(Y14,Y22,Y26,Y32)</f>
        <v>-38150</v>
      </c>
      <c r="Z34" s="57"/>
      <c r="AA34" s="125">
        <f>IF(W34=0,"N/A",PRODUCT(Y34,1/I34))</f>
        <v>-0.18025041341837938</v>
      </c>
      <c r="AB34" s="57"/>
      <c r="AC34" s="82">
        <f>SUM(AC14,AC22,AC26,AC32)</f>
        <v>49053.78</v>
      </c>
      <c r="AD34" s="57"/>
      <c r="AE34" s="125">
        <f>IF(W34=0,"N/A",PRODUCT(AC34,1/Q34))</f>
        <v>0.39417653665977159</v>
      </c>
      <c r="AF34" s="57"/>
      <c r="AH34" s="57"/>
      <c r="AI34" s="57"/>
      <c r="AJ34" s="57"/>
    </row>
    <row r="35" spans="1:36" ht="13.5" thickTop="1" x14ac:dyDescent="0.2">
      <c r="Z35" s="57"/>
      <c r="AB35" s="57"/>
      <c r="AD35" s="57"/>
      <c r="AF35" s="57"/>
      <c r="AH35" s="57"/>
      <c r="AI35" s="57"/>
      <c r="AJ35" s="57"/>
    </row>
    <row r="36" spans="1:36" x14ac:dyDescent="0.2">
      <c r="Z36" s="57"/>
      <c r="AB36" s="57"/>
      <c r="AD36" s="57"/>
      <c r="AF36" s="57"/>
      <c r="AH36" s="57"/>
      <c r="AI36" s="57"/>
      <c r="AJ36" s="57"/>
    </row>
    <row r="37" spans="1:36" x14ac:dyDescent="0.2">
      <c r="Z37" s="57"/>
      <c r="AB37" s="57"/>
      <c r="AD37" s="57"/>
      <c r="AF37" s="57"/>
      <c r="AH37" s="57"/>
      <c r="AI37" s="57"/>
      <c r="AJ37" s="57"/>
    </row>
    <row r="38" spans="1:36" x14ac:dyDescent="0.2">
      <c r="Z38" s="57"/>
      <c r="AB38" s="57"/>
      <c r="AD38" s="57"/>
      <c r="AF38" s="57"/>
      <c r="AH38" s="57"/>
      <c r="AI38" s="57"/>
      <c r="AJ38" s="57"/>
    </row>
    <row r="39" spans="1:36" x14ac:dyDescent="0.2">
      <c r="Z39" s="57"/>
      <c r="AB39" s="57"/>
      <c r="AD39" s="57"/>
      <c r="AF39" s="57"/>
      <c r="AH39" s="57"/>
      <c r="AI39" s="57"/>
      <c r="AJ39" s="57"/>
    </row>
    <row r="40" spans="1:36" x14ac:dyDescent="0.2">
      <c r="Z40" s="57"/>
      <c r="AB40" s="57"/>
      <c r="AD40" s="57"/>
      <c r="AF40" s="57"/>
      <c r="AH40" s="57"/>
      <c r="AI40" s="57"/>
      <c r="AJ40" s="57"/>
    </row>
    <row r="41" spans="1:36" x14ac:dyDescent="0.2">
      <c r="Z41" s="57"/>
      <c r="AB41" s="57"/>
      <c r="AD41" s="57"/>
      <c r="AF41" s="57"/>
      <c r="AH41" s="57"/>
      <c r="AI41" s="57"/>
      <c r="AJ41" s="57"/>
    </row>
    <row r="42" spans="1:36" x14ac:dyDescent="0.2">
      <c r="Z42" s="57"/>
      <c r="AB42" s="57"/>
      <c r="AD42" s="57"/>
      <c r="AF42" s="57"/>
      <c r="AH42" s="57"/>
      <c r="AI42" s="57"/>
      <c r="AJ42" s="57"/>
    </row>
    <row r="43" spans="1:36" x14ac:dyDescent="0.2">
      <c r="Z43" s="57"/>
      <c r="AB43" s="57"/>
      <c r="AD43" s="57"/>
      <c r="AF43" s="57"/>
      <c r="AH43" s="57"/>
      <c r="AI43" s="57"/>
      <c r="AJ43" s="57"/>
    </row>
    <row r="44" spans="1:36" x14ac:dyDescent="0.2">
      <c r="Z44" s="57"/>
      <c r="AB44" s="57"/>
      <c r="AD44" s="57"/>
      <c r="AF44" s="57"/>
      <c r="AH44" s="57"/>
      <c r="AI44" s="57"/>
      <c r="AJ44" s="57"/>
    </row>
    <row r="45" spans="1:36" x14ac:dyDescent="0.2">
      <c r="Z45" s="57"/>
      <c r="AB45" s="57"/>
      <c r="AD45" s="57"/>
      <c r="AF45" s="57"/>
      <c r="AH45" s="57"/>
      <c r="AI45" s="57"/>
      <c r="AJ45" s="57"/>
    </row>
    <row r="46" spans="1:36" x14ac:dyDescent="0.2">
      <c r="Z46" s="57"/>
      <c r="AB46" s="57"/>
      <c r="AD46" s="57"/>
      <c r="AF46" s="57"/>
      <c r="AH46" s="57"/>
      <c r="AI46" s="57"/>
      <c r="AJ46" s="57"/>
    </row>
    <row r="47" spans="1:36" x14ac:dyDescent="0.2">
      <c r="Z47" s="57"/>
      <c r="AB47" s="57"/>
      <c r="AD47" s="57"/>
      <c r="AF47" s="57"/>
      <c r="AH47" s="57"/>
      <c r="AI47" s="57"/>
      <c r="AJ47" s="57"/>
    </row>
    <row r="48" spans="1:36" x14ac:dyDescent="0.2">
      <c r="Z48" s="57"/>
      <c r="AB48" s="57"/>
      <c r="AD48" s="57"/>
      <c r="AF48" s="57"/>
      <c r="AH48" s="57"/>
      <c r="AI48" s="57"/>
      <c r="AJ48" s="57"/>
    </row>
    <row r="49" spans="26:36" x14ac:dyDescent="0.2">
      <c r="Z49" s="57"/>
      <c r="AB49" s="57"/>
      <c r="AD49" s="57"/>
      <c r="AF49" s="57"/>
      <c r="AH49" s="57"/>
      <c r="AI49" s="57"/>
      <c r="AJ49" s="57"/>
    </row>
    <row r="50" spans="26:36" x14ac:dyDescent="0.2">
      <c r="Z50" s="57"/>
      <c r="AB50" s="57"/>
      <c r="AD50" s="57"/>
      <c r="AF50" s="57"/>
      <c r="AH50" s="57"/>
      <c r="AI50" s="57"/>
      <c r="AJ50" s="57"/>
    </row>
    <row r="51" spans="26:36" x14ac:dyDescent="0.2">
      <c r="Z51" s="57"/>
      <c r="AB51" s="57"/>
      <c r="AD51" s="57"/>
      <c r="AF51" s="57"/>
      <c r="AH51" s="57"/>
      <c r="AI51" s="57"/>
      <c r="AJ51" s="57"/>
    </row>
    <row r="52" spans="26:36" x14ac:dyDescent="0.2">
      <c r="Z52" s="57"/>
      <c r="AB52" s="57"/>
      <c r="AD52" s="57"/>
      <c r="AF52" s="57"/>
      <c r="AH52" s="57"/>
      <c r="AI52" s="57"/>
      <c r="AJ52" s="57"/>
    </row>
    <row r="53" spans="26:36" x14ac:dyDescent="0.2">
      <c r="Z53" s="57"/>
      <c r="AB53" s="57"/>
      <c r="AD53" s="57"/>
      <c r="AF53" s="57"/>
      <c r="AH53" s="57"/>
      <c r="AI53" s="57"/>
      <c r="AJ53" s="57"/>
    </row>
    <row r="54" spans="26:36" x14ac:dyDescent="0.2">
      <c r="Z54" s="57"/>
      <c r="AB54" s="57"/>
      <c r="AD54" s="57"/>
      <c r="AF54" s="57"/>
      <c r="AH54" s="57"/>
      <c r="AI54" s="57"/>
      <c r="AJ54" s="57"/>
    </row>
    <row r="55" spans="26:36" x14ac:dyDescent="0.2">
      <c r="Z55" s="57"/>
      <c r="AB55" s="57"/>
      <c r="AD55" s="57"/>
      <c r="AF55" s="57"/>
      <c r="AH55" s="57"/>
      <c r="AI55" s="57"/>
      <c r="AJ55" s="57"/>
    </row>
    <row r="56" spans="26:36" x14ac:dyDescent="0.2">
      <c r="Z56" s="57"/>
      <c r="AB56" s="57"/>
      <c r="AD56" s="57"/>
      <c r="AF56" s="57"/>
      <c r="AH56" s="57"/>
      <c r="AI56" s="57"/>
      <c r="AJ56" s="57"/>
    </row>
    <row r="57" spans="26:36" x14ac:dyDescent="0.2">
      <c r="Z57" s="57"/>
      <c r="AB57" s="57"/>
      <c r="AD57" s="57"/>
      <c r="AF57" s="57"/>
      <c r="AH57" s="57"/>
      <c r="AI57" s="57"/>
      <c r="AJ57" s="57"/>
    </row>
    <row r="58" spans="26:36" x14ac:dyDescent="0.2">
      <c r="Z58" s="57"/>
      <c r="AB58" s="57"/>
      <c r="AD58" s="57"/>
      <c r="AF58" s="57"/>
      <c r="AH58" s="57"/>
      <c r="AI58" s="57"/>
      <c r="AJ58" s="57"/>
    </row>
    <row r="59" spans="26:36" x14ac:dyDescent="0.2">
      <c r="Z59" s="57"/>
      <c r="AB59" s="57"/>
      <c r="AD59" s="57"/>
      <c r="AF59" s="57"/>
      <c r="AH59" s="57"/>
      <c r="AI59" s="57"/>
      <c r="AJ59" s="57"/>
    </row>
    <row r="60" spans="26:36" x14ac:dyDescent="0.2">
      <c r="Z60" s="57"/>
      <c r="AB60" s="57"/>
      <c r="AD60" s="57"/>
      <c r="AF60" s="57"/>
      <c r="AH60" s="57"/>
      <c r="AI60" s="57"/>
      <c r="AJ60" s="57"/>
    </row>
    <row r="61" spans="26:36" x14ac:dyDescent="0.2">
      <c r="Z61" s="57"/>
      <c r="AB61" s="57"/>
      <c r="AD61" s="57"/>
      <c r="AF61" s="57"/>
      <c r="AH61" s="57"/>
      <c r="AI61" s="57"/>
      <c r="AJ61" s="57"/>
    </row>
    <row r="62" spans="26:36" x14ac:dyDescent="0.2">
      <c r="Z62" s="57"/>
      <c r="AB62" s="57"/>
      <c r="AD62" s="57"/>
      <c r="AF62" s="57"/>
      <c r="AH62" s="57"/>
      <c r="AI62" s="57"/>
      <c r="AJ62" s="57"/>
    </row>
    <row r="63" spans="26:36" x14ac:dyDescent="0.2">
      <c r="Z63" s="57"/>
      <c r="AB63" s="57"/>
      <c r="AD63" s="57"/>
      <c r="AF63" s="57"/>
      <c r="AH63" s="57"/>
      <c r="AI63" s="57"/>
      <c r="AJ63" s="57"/>
    </row>
    <row r="64" spans="26:36" x14ac:dyDescent="0.2">
      <c r="Z64" s="57"/>
      <c r="AB64" s="57"/>
      <c r="AD64" s="57"/>
      <c r="AF64" s="57"/>
      <c r="AH64" s="57"/>
      <c r="AI64" s="57"/>
      <c r="AJ64" s="57"/>
    </row>
    <row r="65" spans="26:36" x14ac:dyDescent="0.2">
      <c r="Z65" s="57"/>
      <c r="AB65" s="57"/>
      <c r="AD65" s="57"/>
      <c r="AF65" s="57"/>
      <c r="AH65" s="57"/>
      <c r="AI65" s="57"/>
      <c r="AJ65" s="57"/>
    </row>
    <row r="66" spans="26:36" x14ac:dyDescent="0.2">
      <c r="Z66" s="57"/>
      <c r="AB66" s="57"/>
      <c r="AD66" s="57"/>
      <c r="AF66" s="57"/>
      <c r="AH66" s="57"/>
      <c r="AI66" s="57"/>
      <c r="AJ66" s="57"/>
    </row>
    <row r="67" spans="26:36" x14ac:dyDescent="0.2">
      <c r="Z67" s="57"/>
      <c r="AB67" s="57"/>
      <c r="AD67" s="57"/>
      <c r="AF67" s="57"/>
      <c r="AH67" s="57"/>
      <c r="AI67" s="57"/>
      <c r="AJ67" s="57"/>
    </row>
    <row r="68" spans="26:36" x14ac:dyDescent="0.2">
      <c r="Z68" s="57"/>
      <c r="AB68" s="57"/>
      <c r="AD68" s="57"/>
      <c r="AF68" s="57"/>
      <c r="AH68" s="57"/>
      <c r="AI68" s="57"/>
      <c r="AJ68" s="57"/>
    </row>
    <row r="69" spans="26:36" x14ac:dyDescent="0.2">
      <c r="Z69" s="57"/>
      <c r="AB69" s="57"/>
      <c r="AD69" s="57"/>
      <c r="AF69" s="57"/>
      <c r="AH69" s="57"/>
      <c r="AI69" s="57"/>
      <c r="AJ69" s="57"/>
    </row>
    <row r="70" spans="26:36" x14ac:dyDescent="0.2">
      <c r="Z70" s="57"/>
      <c r="AB70" s="57"/>
      <c r="AD70" s="57"/>
      <c r="AF70" s="57"/>
      <c r="AH70" s="57"/>
      <c r="AI70" s="57"/>
      <c r="AJ70" s="57"/>
    </row>
    <row r="71" spans="26:36" x14ac:dyDescent="0.2">
      <c r="Z71" s="57"/>
      <c r="AB71" s="57"/>
      <c r="AD71" s="57"/>
      <c r="AF71" s="57"/>
      <c r="AH71" s="57"/>
      <c r="AI71" s="57"/>
      <c r="AJ71" s="57"/>
    </row>
    <row r="72" spans="26:36" x14ac:dyDescent="0.2">
      <c r="Z72" s="57"/>
      <c r="AB72" s="57"/>
      <c r="AD72" s="57"/>
      <c r="AF72" s="57"/>
      <c r="AH72" s="57"/>
      <c r="AI72" s="57"/>
      <c r="AJ72" s="57"/>
    </row>
    <row r="73" spans="26:36" x14ac:dyDescent="0.2">
      <c r="Z73" s="57"/>
      <c r="AB73" s="57"/>
      <c r="AD73" s="57"/>
      <c r="AF73" s="57"/>
      <c r="AH73" s="57"/>
      <c r="AI73" s="57"/>
      <c r="AJ73" s="57"/>
    </row>
    <row r="74" spans="26:36" x14ac:dyDescent="0.2">
      <c r="Z74" s="57"/>
      <c r="AB74" s="57"/>
      <c r="AD74" s="57"/>
      <c r="AF74" s="57"/>
      <c r="AH74" s="57"/>
      <c r="AI74" s="57"/>
      <c r="AJ74" s="57"/>
    </row>
    <row r="75" spans="26:36" x14ac:dyDescent="0.2">
      <c r="Z75" s="57"/>
      <c r="AB75" s="57"/>
      <c r="AD75" s="57"/>
      <c r="AF75" s="57"/>
      <c r="AH75" s="57"/>
      <c r="AI75" s="57"/>
      <c r="AJ75" s="57"/>
    </row>
    <row r="76" spans="26:36" x14ac:dyDescent="0.2">
      <c r="Z76" s="57"/>
      <c r="AB76" s="57"/>
      <c r="AD76" s="57"/>
      <c r="AF76" s="57"/>
      <c r="AH76" s="57"/>
      <c r="AI76" s="57"/>
      <c r="AJ76" s="57"/>
    </row>
    <row r="77" spans="26:36" x14ac:dyDescent="0.2">
      <c r="Z77" s="57"/>
      <c r="AB77" s="57"/>
      <c r="AD77" s="57"/>
      <c r="AF77" s="57"/>
      <c r="AH77" s="57"/>
      <c r="AI77" s="57"/>
      <c r="AJ77" s="57"/>
    </row>
    <row r="78" spans="26:36" x14ac:dyDescent="0.2">
      <c r="Z78" s="57"/>
      <c r="AB78" s="57"/>
      <c r="AD78" s="57"/>
      <c r="AF78" s="57"/>
      <c r="AH78" s="57"/>
      <c r="AI78" s="57"/>
      <c r="AJ78" s="57"/>
    </row>
    <row r="79" spans="26:36" x14ac:dyDescent="0.2">
      <c r="Z79" s="57"/>
      <c r="AB79" s="57"/>
      <c r="AD79" s="57"/>
      <c r="AF79" s="57"/>
      <c r="AH79" s="57"/>
      <c r="AI79" s="57"/>
      <c r="AJ79" s="57"/>
    </row>
    <row r="80" spans="26:36" x14ac:dyDescent="0.2">
      <c r="Z80" s="57"/>
      <c r="AB80" s="57"/>
      <c r="AD80" s="57"/>
      <c r="AF80" s="57"/>
      <c r="AH80" s="57"/>
      <c r="AI80" s="57"/>
      <c r="AJ80" s="57"/>
    </row>
    <row r="81" spans="26:36" x14ac:dyDescent="0.2">
      <c r="Z81" s="57"/>
      <c r="AB81" s="57"/>
      <c r="AD81" s="57"/>
      <c r="AF81" s="57"/>
      <c r="AH81" s="57"/>
      <c r="AI81" s="57"/>
      <c r="AJ81" s="57"/>
    </row>
    <row r="82" spans="26:36" x14ac:dyDescent="0.2">
      <c r="Z82" s="57"/>
      <c r="AB82" s="57"/>
      <c r="AD82" s="57"/>
      <c r="AF82" s="57"/>
      <c r="AH82" s="57"/>
      <c r="AI82" s="57"/>
      <c r="AJ82" s="57"/>
    </row>
    <row r="83" spans="26:36" x14ac:dyDescent="0.2">
      <c r="Z83" s="57"/>
      <c r="AB83" s="57"/>
      <c r="AD83" s="57"/>
      <c r="AF83" s="57"/>
      <c r="AH83" s="57"/>
      <c r="AI83" s="57"/>
      <c r="AJ83" s="57"/>
    </row>
    <row r="84" spans="26:36" x14ac:dyDescent="0.2">
      <c r="Z84" s="57"/>
      <c r="AB84" s="57"/>
      <c r="AD84" s="57"/>
      <c r="AF84" s="57"/>
      <c r="AH84" s="57"/>
      <c r="AI84" s="57"/>
      <c r="AJ84" s="57"/>
    </row>
    <row r="85" spans="26:36" x14ac:dyDescent="0.2">
      <c r="Z85" s="57"/>
      <c r="AB85" s="57"/>
      <c r="AD85" s="57"/>
      <c r="AF85" s="57"/>
      <c r="AH85" s="57"/>
      <c r="AI85" s="57"/>
      <c r="AJ85" s="57"/>
    </row>
    <row r="86" spans="26:36" x14ac:dyDescent="0.2">
      <c r="Z86" s="57"/>
      <c r="AB86" s="57"/>
      <c r="AD86" s="57"/>
      <c r="AF86" s="57"/>
      <c r="AH86" s="57"/>
      <c r="AI86" s="57"/>
      <c r="AJ86" s="57"/>
    </row>
    <row r="87" spans="26:36" x14ac:dyDescent="0.2">
      <c r="Z87" s="57"/>
      <c r="AB87" s="57"/>
      <c r="AD87" s="57"/>
      <c r="AF87" s="57"/>
      <c r="AH87" s="57"/>
      <c r="AI87" s="57"/>
      <c r="AJ87" s="57"/>
    </row>
    <row r="88" spans="26:36" x14ac:dyDescent="0.2">
      <c r="Z88" s="57"/>
      <c r="AB88" s="57"/>
      <c r="AD88" s="57"/>
      <c r="AF88" s="57"/>
      <c r="AH88" s="57"/>
      <c r="AI88" s="57"/>
      <c r="AJ88" s="57"/>
    </row>
    <row r="89" spans="26:36" x14ac:dyDescent="0.2">
      <c r="Z89" s="57"/>
      <c r="AB89" s="57"/>
      <c r="AD89" s="57"/>
      <c r="AF89" s="57"/>
      <c r="AH89" s="57"/>
      <c r="AI89" s="57"/>
      <c r="AJ89" s="57"/>
    </row>
    <row r="90" spans="26:36" x14ac:dyDescent="0.2">
      <c r="Z90" s="57"/>
      <c r="AB90" s="57"/>
      <c r="AD90" s="57"/>
      <c r="AF90" s="57"/>
      <c r="AH90" s="57"/>
      <c r="AI90" s="57"/>
      <c r="AJ90" s="57"/>
    </row>
    <row r="91" spans="26:36" x14ac:dyDescent="0.2">
      <c r="Z91" s="57"/>
      <c r="AB91" s="57"/>
      <c r="AD91" s="57"/>
      <c r="AF91" s="57"/>
      <c r="AH91" s="57"/>
      <c r="AI91" s="57"/>
      <c r="AJ91" s="57"/>
    </row>
    <row r="92" spans="26:36" x14ac:dyDescent="0.2">
      <c r="Z92" s="57"/>
      <c r="AB92" s="57"/>
      <c r="AD92" s="57"/>
      <c r="AF92" s="57"/>
      <c r="AH92" s="57"/>
      <c r="AI92" s="57"/>
      <c r="AJ92" s="57"/>
    </row>
    <row r="93" spans="26:36" x14ac:dyDescent="0.2">
      <c r="Z93" s="57"/>
      <c r="AB93" s="57"/>
      <c r="AD93" s="57"/>
      <c r="AF93" s="57"/>
      <c r="AH93" s="57"/>
      <c r="AI93" s="57"/>
      <c r="AJ93" s="57"/>
    </row>
    <row r="94" spans="26:36" x14ac:dyDescent="0.2">
      <c r="Z94" s="57"/>
      <c r="AB94" s="57"/>
      <c r="AD94" s="57"/>
      <c r="AF94" s="57"/>
      <c r="AH94" s="57"/>
      <c r="AI94" s="57"/>
      <c r="AJ94" s="57"/>
    </row>
    <row r="95" spans="26:36" x14ac:dyDescent="0.2">
      <c r="Z95" s="57"/>
      <c r="AB95" s="57"/>
      <c r="AD95" s="57"/>
      <c r="AF95" s="57"/>
      <c r="AH95" s="57"/>
      <c r="AI95" s="57"/>
      <c r="AJ95" s="57"/>
    </row>
    <row r="96" spans="26:36" x14ac:dyDescent="0.2">
      <c r="Z96" s="57"/>
      <c r="AB96" s="57"/>
      <c r="AD96" s="57"/>
      <c r="AF96" s="57"/>
      <c r="AH96" s="57"/>
      <c r="AI96" s="57"/>
      <c r="AJ96" s="57"/>
    </row>
    <row r="97" spans="26:36" x14ac:dyDescent="0.2">
      <c r="Z97" s="57"/>
      <c r="AB97" s="57"/>
      <c r="AD97" s="57"/>
      <c r="AF97" s="57"/>
      <c r="AH97" s="57"/>
      <c r="AI97" s="57"/>
      <c r="AJ97" s="57"/>
    </row>
    <row r="98" spans="26:36" x14ac:dyDescent="0.2">
      <c r="Z98" s="57"/>
      <c r="AB98" s="57"/>
      <c r="AD98" s="57"/>
      <c r="AF98" s="57"/>
      <c r="AH98" s="57"/>
      <c r="AI98" s="57"/>
      <c r="AJ98" s="57"/>
    </row>
    <row r="99" spans="26:36" x14ac:dyDescent="0.2">
      <c r="Z99" s="57"/>
      <c r="AB99" s="57"/>
      <c r="AD99" s="57"/>
      <c r="AF99" s="57"/>
      <c r="AH99" s="57"/>
      <c r="AI99" s="57"/>
      <c r="AJ99" s="57"/>
    </row>
    <row r="100" spans="26:36" x14ac:dyDescent="0.2">
      <c r="Z100" s="57"/>
      <c r="AB100" s="57"/>
      <c r="AD100" s="57"/>
      <c r="AF100" s="57"/>
      <c r="AH100" s="57"/>
      <c r="AI100" s="57"/>
      <c r="AJ100" s="57"/>
    </row>
    <row r="101" spans="26:36" x14ac:dyDescent="0.2">
      <c r="Z101" s="57"/>
      <c r="AB101" s="57"/>
      <c r="AD101" s="57"/>
      <c r="AF101" s="57"/>
      <c r="AH101" s="57"/>
      <c r="AI101" s="57"/>
      <c r="AJ101" s="57"/>
    </row>
    <row r="102" spans="26:36" x14ac:dyDescent="0.2">
      <c r="Z102" s="57"/>
      <c r="AB102" s="57"/>
      <c r="AD102" s="57"/>
      <c r="AF102" s="57"/>
      <c r="AH102" s="57"/>
      <c r="AI102" s="57"/>
      <c r="AJ102" s="57"/>
    </row>
  </sheetData>
  <pageMargins left="0.25" right="0.25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SUMMARY</vt:lpstr>
      <vt:lpstr>GF-SUMM</vt:lpstr>
      <vt:lpstr>GF FORE</vt:lpstr>
      <vt:lpstr>GF-R</vt:lpstr>
      <vt:lpstr>GF-E ADM</vt:lpstr>
      <vt:lpstr>GF-E IT</vt:lpstr>
      <vt:lpstr>GF-E FIRE</vt:lpstr>
      <vt:lpstr>GF-E POL</vt:lpstr>
      <vt:lpstr>GF-E AC</vt:lpstr>
      <vt:lpstr>GF-E DEV</vt:lpstr>
      <vt:lpstr>GF-E STR</vt:lpstr>
      <vt:lpstr>GF-E MOW</vt:lpstr>
      <vt:lpstr>GF-XFER TO</vt:lpstr>
      <vt:lpstr>GF-E CAP</vt:lpstr>
      <vt:lpstr>UT-SUMM</vt:lpstr>
      <vt:lpstr>UT FORE</vt:lpstr>
      <vt:lpstr>UT-R</vt:lpstr>
      <vt:lpstr>UT-E ADM</vt:lpstr>
      <vt:lpstr>UT-E PROD</vt:lpstr>
      <vt:lpstr>UT-E DIST</vt:lpstr>
      <vt:lpstr>UT-E TRE</vt:lpstr>
      <vt:lpstr>UT-E COLL</vt:lpstr>
      <vt:lpstr>UT-E REC</vt:lpstr>
      <vt:lpstr>UT-E DEBT</vt:lpstr>
      <vt:lpstr>UT-XFER TO</vt:lpstr>
      <vt:lpstr>UT-E CAP</vt:lpstr>
      <vt:lpstr>04-ESC</vt:lpstr>
      <vt:lpstr>05-SUMM</vt:lpstr>
      <vt:lpstr>06-SEIZ</vt:lpstr>
      <vt:lpstr>07-CAP</vt:lpstr>
      <vt:lpstr>08-DEBT</vt:lpstr>
      <vt:lpstr>13-COMP</vt:lpstr>
      <vt:lpstr>14-FIXED</vt:lpstr>
      <vt:lpstr>16-MCSAFE</vt:lpstr>
      <vt:lpstr>17-MCTECH</vt:lpstr>
      <vt:lpstr>18-MCSEC</vt:lpstr>
      <vt:lpstr>19-IMPACT</vt:lpstr>
      <vt:lpstr>21-VEH REP</vt:lpstr>
      <vt:lpstr>CHART</vt:lpstr>
      <vt:lpstr>TAX RATE</vt:lpstr>
      <vt:lpstr>5YR CAP</vt:lpstr>
      <vt:lpstr>STAFF PLAN</vt:lpstr>
      <vt:lpstr>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Thomas</dc:creator>
  <cp:lastModifiedBy>Molly</cp:lastModifiedBy>
  <cp:lastPrinted>2023-07-24T20:12:37Z</cp:lastPrinted>
  <dcterms:created xsi:type="dcterms:W3CDTF">2023-02-21T18:21:10Z</dcterms:created>
  <dcterms:modified xsi:type="dcterms:W3CDTF">2024-05-15T19:50:08Z</dcterms:modified>
</cp:coreProperties>
</file>